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자산현황" sheetId="1" state="visible" r:id="rId3"/>
    <sheet name="대출상환" sheetId="2" state="visible" r:id="rId4"/>
    <sheet name="사용법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<sst xmlns="http://schemas.openxmlformats.org/spreadsheetml/2006/main" count="93" uniqueCount="91">
  <si>
    <r>
      <rPr>
        <b val="true"/>
        <sz val="10"/>
        <color rgb="FFFFFFFF"/>
        <rFont val="맑은 고딕"/>
        <family val="0"/>
        <charset val="1"/>
      </rPr>
      <t xml:space="preserve">v1.0 / </t>
    </r>
    <r>
      <rPr>
        <b val="true"/>
        <sz val="10"/>
        <color rgb="FFFFFFFF"/>
        <rFont val="Noto Sans CJK SC"/>
        <family val="2"/>
      </rPr>
      <t xml:space="preserve">기준일 </t>
    </r>
    <r>
      <rPr>
        <b val="true"/>
        <sz val="10"/>
        <color rgb="FFFFFFFF"/>
        <rFont val="맑은 고딕"/>
        <family val="0"/>
        <charset val="1"/>
      </rPr>
      <t xml:space="preserve">2026-08-13 / </t>
    </r>
    <r>
      <rPr>
        <b val="true"/>
        <sz val="10"/>
        <color rgb="FFFFFFFF"/>
        <rFont val="Noto Sans CJK SC"/>
        <family val="2"/>
      </rPr>
      <t xml:space="preserve">최신본</t>
    </r>
    <r>
      <rPr>
        <b val="true"/>
        <sz val="10"/>
        <color rgb="FFFFFFFF"/>
        <rFont val="맑은 고딕"/>
        <family val="0"/>
        <charset val="1"/>
      </rPr>
      <t xml:space="preserve">: wolmoa.com/files/asset-tracker</t>
    </r>
  </si>
  <si>
    <r>
      <rPr>
        <sz val="9"/>
        <color rgb="FF833C00"/>
        <rFont val="Noto Sans CJK SC"/>
        <family val="2"/>
      </rPr>
      <t xml:space="preserve">노란 칸에 달마다 잔액을 적으시면 됩니다</t>
    </r>
    <r>
      <rPr>
        <sz val="9"/>
        <color rgb="FF833C00"/>
        <rFont val="맑은 고딕"/>
        <family val="0"/>
        <charset val="1"/>
      </rPr>
      <t xml:space="preserve">. </t>
    </r>
    <r>
      <rPr>
        <sz val="9"/>
        <color rgb="FF833C00"/>
        <rFont val="Noto Sans CJK SC"/>
        <family val="2"/>
      </rPr>
      <t xml:space="preserve">회색 칸은 자동입니다</t>
    </r>
    <r>
      <rPr>
        <sz val="9"/>
        <color rgb="FF833C00"/>
        <rFont val="맑은 고딕"/>
        <family val="0"/>
        <charset val="1"/>
      </rPr>
      <t xml:space="preserve">. </t>
    </r>
    <r>
      <rPr>
        <sz val="9"/>
        <color rgb="FF833C00"/>
        <rFont val="Noto Sans CJK SC"/>
        <family val="2"/>
      </rPr>
      <t xml:space="preserve">부채 첫 줄은 </t>
    </r>
    <r>
      <rPr>
        <sz val="9"/>
        <color rgb="FF833C00"/>
        <rFont val="맑은 고딕"/>
        <family val="0"/>
        <charset val="1"/>
      </rPr>
      <t xml:space="preserve">'</t>
    </r>
    <r>
      <rPr>
        <sz val="9"/>
        <color rgb="FF833C00"/>
        <rFont val="Noto Sans CJK SC"/>
        <family val="2"/>
      </rPr>
      <t xml:space="preserve">대출상환</t>
    </r>
    <r>
      <rPr>
        <sz val="9"/>
        <color rgb="FF833C00"/>
        <rFont val="맑은 고딕"/>
        <family val="0"/>
        <charset val="1"/>
      </rPr>
      <t xml:space="preserve">' </t>
    </r>
    <r>
      <rPr>
        <sz val="9"/>
        <color rgb="FF833C00"/>
        <rFont val="Noto Sans CJK SC"/>
        <family val="2"/>
      </rPr>
      <t xml:space="preserve">시트에서 저절로 넘어옵니다</t>
    </r>
    <r>
      <rPr>
        <sz val="9"/>
        <color rgb="FF833C00"/>
        <rFont val="맑은 고딕"/>
        <family val="0"/>
        <charset val="1"/>
      </rPr>
      <t xml:space="preserve">.</t>
    </r>
  </si>
  <si>
    <t xml:space="preserve">기준 연도</t>
  </si>
  <si>
    <r>
      <rPr>
        <sz val="9"/>
        <color rgb="FF808080"/>
        <rFont val="Noto Sans CJK SC"/>
        <family val="2"/>
      </rPr>
      <t xml:space="preserve">← 이 해의 </t>
    </r>
    <r>
      <rPr>
        <sz val="9"/>
        <color rgb="FF808080"/>
        <rFont val="맑은 고딕"/>
        <family val="0"/>
        <charset val="1"/>
      </rPr>
      <t xml:space="preserve">12</t>
    </r>
    <r>
      <rPr>
        <sz val="9"/>
        <color rgb="FF808080"/>
        <rFont val="Noto Sans CJK SC"/>
        <family val="2"/>
      </rPr>
      <t xml:space="preserve">개월을 적습니다</t>
    </r>
    <r>
      <rPr>
        <sz val="9"/>
        <color rgb="FF808080"/>
        <rFont val="맑은 고딕"/>
        <family val="0"/>
        <charset val="1"/>
      </rPr>
      <t xml:space="preserve">. </t>
    </r>
    <r>
      <rPr>
        <sz val="9"/>
        <color rgb="FF808080"/>
        <rFont val="Noto Sans CJK SC"/>
        <family val="2"/>
      </rPr>
      <t xml:space="preserve">해가 바뀌면 파일을 복사해 새로 쓰세요</t>
    </r>
  </si>
  <si>
    <t xml:space="preserve">항목</t>
  </si>
  <si>
    <t xml:space="preserve">■ 자산 — 그 달 말일 기준 잔액을 적으세요</t>
  </si>
  <si>
    <r>
      <rPr>
        <sz val="10"/>
        <color rgb="FF000000"/>
        <rFont val="Noto Sans CJK SC"/>
        <family val="2"/>
      </rPr>
      <t xml:space="preserve">현금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입출금 통장</t>
    </r>
  </si>
  <si>
    <r>
      <rPr>
        <sz val="10"/>
        <color rgb="FF000000"/>
        <rFont val="Noto Sans CJK SC"/>
        <family val="2"/>
      </rPr>
      <t xml:space="preserve">예금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적금</t>
    </r>
  </si>
  <si>
    <t xml:space="preserve">청약통장</t>
  </si>
  <si>
    <r>
      <rPr>
        <sz val="10"/>
        <color rgb="FF000000"/>
        <rFont val="Noto Sans CJK SC"/>
        <family val="2"/>
      </rPr>
      <t xml:space="preserve">주식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펀드 </t>
    </r>
    <r>
      <rPr>
        <sz val="10"/>
        <color rgb="FF000000"/>
        <rFont val="맑은 고딕"/>
        <family val="0"/>
        <charset val="1"/>
      </rPr>
      <t xml:space="preserve">· ETF</t>
    </r>
  </si>
  <si>
    <r>
      <rPr>
        <sz val="10"/>
        <color rgb="FF000000"/>
        <rFont val="Noto Sans CJK SC"/>
        <family val="2"/>
      </rPr>
      <t xml:space="preserve">연금 </t>
    </r>
    <r>
      <rPr>
        <sz val="10"/>
        <color rgb="FF000000"/>
        <rFont val="맑은 고딕"/>
        <family val="0"/>
        <charset val="1"/>
      </rPr>
      <t xml:space="preserve">(IRP · </t>
    </r>
    <r>
      <rPr>
        <sz val="10"/>
        <color rgb="FF000000"/>
        <rFont val="Noto Sans CJK SC"/>
        <family val="2"/>
      </rPr>
      <t xml:space="preserve">연금저축</t>
    </r>
    <r>
      <rPr>
        <sz val="10"/>
        <color rgb="FF000000"/>
        <rFont val="맑은 고딕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</si>
  <si>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전세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월세 보증금</t>
    </r>
  </si>
  <si>
    <r>
      <rPr>
        <sz val="10"/>
        <color rgb="FF000000"/>
        <rFont val="Noto Sans CJK SC"/>
        <family val="2"/>
      </rPr>
      <t xml:space="preserve">부동산 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시세</t>
    </r>
    <r>
      <rPr>
        <sz val="10"/>
        <color rgb="FF000000"/>
        <rFont val="맑은 고딕"/>
        <family val="0"/>
        <charset val="1"/>
      </rPr>
      <t xml:space="preserve">)</t>
    </r>
  </si>
  <si>
    <t xml:space="preserve">자동차 등</t>
  </si>
  <si>
    <t xml:space="preserve">그 밖의 자산</t>
  </si>
  <si>
    <t xml:space="preserve">자산 합계</t>
  </si>
  <si>
    <t xml:space="preserve">■ 부채 — 남은 원금을 적으세요</t>
  </si>
  <si>
    <r>
      <rPr>
        <b val="true"/>
        <sz val="10"/>
        <color rgb="FF000000"/>
        <rFont val="Noto Sans CJK SC"/>
        <family val="2"/>
      </rPr>
      <t xml:space="preserve">이 파일의 대출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자동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</si>
  <si>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t xml:space="preserve">그 밖의 주택 관련 대출</t>
  </si>
  <si>
    <t xml:space="preserve">신용대출</t>
  </si>
  <si>
    <r>
      <rPr>
        <sz val="10"/>
        <color rgb="FF000000"/>
        <rFont val="Noto Sans CJK SC"/>
        <family val="2"/>
      </rPr>
      <t xml:space="preserve">카드 미결제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할부</t>
    </r>
  </si>
  <si>
    <t xml:space="preserve">그 밖의 빚</t>
  </si>
  <si>
    <t xml:space="preserve">부채 합계</t>
  </si>
  <si>
    <r>
      <rPr>
        <b val="true"/>
        <sz val="10"/>
        <color rgb="FF1F4E3D"/>
        <rFont val="Noto Sans CJK SC"/>
        <family val="2"/>
      </rPr>
      <t xml:space="preserve">■ 순자산 — 자산에서 빚을 뺀 값</t>
    </r>
    <r>
      <rPr>
        <b val="true"/>
        <sz val="10"/>
        <color rgb="FF1F4E3D"/>
        <rFont val="맑은 고딕"/>
        <family val="0"/>
        <charset val="1"/>
      </rPr>
      <t xml:space="preserve">. </t>
    </r>
    <r>
      <rPr>
        <b val="true"/>
        <sz val="10"/>
        <color rgb="FF1F4E3D"/>
        <rFont val="Noto Sans CJK SC"/>
        <family val="2"/>
      </rPr>
      <t xml:space="preserve">이 줄이 우상향하면 잘 가고 있는 겁니다</t>
    </r>
  </si>
  <si>
    <t xml:space="preserve">순자산</t>
  </si>
  <si>
    <t xml:space="preserve">전달 대비 증감</t>
  </si>
  <si>
    <t xml:space="preserve">-</t>
  </si>
  <si>
    <r>
      <rPr>
        <sz val="9"/>
        <color rgb="FF595959"/>
        <rFont val="맑은 고딕"/>
        <family val="0"/>
        <charset val="1"/>
      </rPr>
      <t xml:space="preserve">· </t>
    </r>
    <r>
      <rPr>
        <sz val="9"/>
        <color rgb="FF595959"/>
        <rFont val="Noto Sans CJK SC"/>
        <family val="2"/>
      </rPr>
      <t xml:space="preserve">부채 첫 줄은 </t>
    </r>
    <r>
      <rPr>
        <sz val="9"/>
        <color rgb="FF595959"/>
        <rFont val="맑은 고딕"/>
        <family val="0"/>
        <charset val="1"/>
      </rPr>
      <t xml:space="preserve">'</t>
    </r>
    <r>
      <rPr>
        <sz val="9"/>
        <color rgb="FF595959"/>
        <rFont val="Noto Sans CJK SC"/>
        <family val="2"/>
      </rPr>
      <t xml:space="preserve">대출상환</t>
    </r>
    <r>
      <rPr>
        <sz val="9"/>
        <color rgb="FF595959"/>
        <rFont val="맑은 고딕"/>
        <family val="0"/>
        <charset val="1"/>
      </rPr>
      <t xml:space="preserve">' </t>
    </r>
    <r>
      <rPr>
        <sz val="9"/>
        <color rgb="FF595959"/>
        <rFont val="Noto Sans CJK SC"/>
        <family val="2"/>
      </rPr>
      <t xml:space="preserve">시트가 계산한 남은 원금입니다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직접 고치지 마세요 — 그 시트의 노란 칸을 고치면 여기가 따라옵니다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</si>
  <si>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맑은 고딕"/>
        <family val="0"/>
        <charset val="1"/>
      </rPr>
      <t xml:space="preserve">· </t>
    </r>
    <r>
      <rPr>
        <sz val="9"/>
        <color rgb="FF595959"/>
        <rFont val="Noto Sans CJK SC"/>
        <family val="2"/>
      </rPr>
      <t xml:space="preserve">순자산이 마이너스여도 이상한 게 아닙니다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집을 사고 대출이 남은 초기에는 보통 그렇습니다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</si>
  <si>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맑은 고딕"/>
        <family val="0"/>
        <charset val="1"/>
      </rPr>
      <t xml:space="preserve">· </t>
    </r>
    <r>
      <rPr>
        <sz val="9"/>
        <color rgb="FF595959"/>
        <rFont val="Noto Sans CJK SC"/>
        <family val="2"/>
      </rPr>
      <t xml:space="preserve">부동산 시세처럼 정확히 알 수 없는 값은 대충 적으셔도 됩니다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중요한 건 절대 금액이 아니라 이 줄의 방향입니다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</si>
  <si>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맑은 고딕"/>
        <family val="0"/>
        <charset val="1"/>
      </rPr>
      <t xml:space="preserve">· </t>
    </r>
    <r>
      <rPr>
        <sz val="9"/>
        <color rgb="FF595959"/>
        <rFont val="Noto Sans CJK SC"/>
        <family val="2"/>
      </rPr>
      <t xml:space="preserve">세금</t>
    </r>
    <r>
      <rPr>
        <sz val="9"/>
        <color rgb="FF595959"/>
        <rFont val="맑은 고딕"/>
        <family val="0"/>
        <charset val="1"/>
      </rPr>
      <t xml:space="preserve">·</t>
    </r>
    <r>
      <rPr>
        <sz val="9"/>
        <color rgb="FF595959"/>
        <rFont val="Noto Sans CJK SC"/>
        <family val="2"/>
      </rPr>
      <t xml:space="preserve">수수료</t>
    </r>
    <r>
      <rPr>
        <sz val="9"/>
        <color rgb="FF595959"/>
        <rFont val="맑은 고딕"/>
        <family val="0"/>
        <charset val="1"/>
      </rPr>
      <t xml:space="preserve">·</t>
    </r>
    <r>
      <rPr>
        <sz val="9"/>
        <color rgb="FF595959"/>
        <rFont val="Noto Sans CJK SC"/>
        <family val="2"/>
      </rPr>
      <t xml:space="preserve">물가는 반영하지 않습니다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더하고 빼기만 합니다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</si>
  <si>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833C00"/>
        <rFont val="Noto Sans CJK SC"/>
        <family val="2"/>
      </rPr>
      <t xml:space="preserve">노란 칸 다섯 개만 채우시면 아래 표가 전부 자동으로 채워집니다</t>
    </r>
    <r>
      <rPr>
        <sz val="9"/>
        <color rgb="FF833C00"/>
        <rFont val="맑은 고딕"/>
        <family val="0"/>
        <charset val="1"/>
      </rPr>
      <t xml:space="preserve">. '</t>
    </r>
    <r>
      <rPr>
        <sz val="9"/>
        <color rgb="FF833C00"/>
        <rFont val="Noto Sans CJK SC"/>
        <family val="2"/>
      </rPr>
      <t xml:space="preserve">더 갚는 돈</t>
    </r>
    <r>
      <rPr>
        <sz val="9"/>
        <color rgb="FF833C00"/>
        <rFont val="맑은 고딕"/>
        <family val="0"/>
        <charset val="1"/>
      </rPr>
      <t xml:space="preserve">' </t>
    </r>
    <r>
      <rPr>
        <sz val="9"/>
        <color rgb="FF833C00"/>
        <rFont val="Noto Sans CJK SC"/>
        <family val="2"/>
      </rPr>
      <t xml:space="preserve">칸은 비워 두셔도 되고</t>
    </r>
    <r>
      <rPr>
        <sz val="9"/>
        <color rgb="FF833C00"/>
        <rFont val="맑은 고딕"/>
        <family val="0"/>
        <charset val="1"/>
      </rPr>
      <t xml:space="preserve">, </t>
    </r>
    <r>
      <rPr>
        <sz val="9"/>
        <color rgb="FF833C00"/>
        <rFont val="Noto Sans CJK SC"/>
        <family val="2"/>
      </rPr>
      <t xml:space="preserve">넣으면 기간과 이자가 얼마나 줄어드는지 위에 나옵니다</t>
    </r>
    <r>
      <rPr>
        <sz val="9"/>
        <color rgb="FF833C00"/>
        <rFont val="맑은 고딕"/>
        <family val="0"/>
        <charset val="1"/>
      </rPr>
      <t xml:space="preserve">.</t>
    </r>
  </si>
  <si>
    <r>
      <rPr>
        <b val="true"/>
        <sz val="10"/>
        <color rgb="FF000000"/>
        <rFont val="Noto Sans CJK SC"/>
        <family val="2"/>
      </rPr>
      <t xml:space="preserve">대출 금액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원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</si>
  <si>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t xml:space="preserve">← 파란 숫자만 바꾸시면 됩니다</t>
  </si>
  <si>
    <t xml:space="preserve">연 이자율</t>
  </si>
  <si>
    <r>
      <rPr>
        <b val="true"/>
        <sz val="10"/>
        <color rgb="FF000000"/>
        <rFont val="Noto Sans CJK SC"/>
        <family val="2"/>
      </rPr>
      <t xml:space="preserve">기간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개월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</si>
  <si>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t xml:space="preserve">상환 방식</t>
  </si>
  <si>
    <t xml:space="preserve">원리금균등</t>
  </si>
  <si>
    <r>
      <rPr>
        <sz val="9"/>
        <color rgb="FF808080"/>
        <rFont val="Noto Sans CJK SC"/>
        <family val="2"/>
      </rPr>
      <t xml:space="preserve">원리금균등 </t>
    </r>
    <r>
      <rPr>
        <sz val="9"/>
        <color rgb="FF808080"/>
        <rFont val="맑은 고딕"/>
        <family val="0"/>
        <charset val="1"/>
      </rPr>
      <t xml:space="preserve">= </t>
    </r>
    <r>
      <rPr>
        <sz val="9"/>
        <color rgb="FF808080"/>
        <rFont val="Noto Sans CJK SC"/>
        <family val="2"/>
      </rPr>
      <t xml:space="preserve">매달 같은 돈 </t>
    </r>
    <r>
      <rPr>
        <sz val="9"/>
        <color rgb="FF808080"/>
        <rFont val="맑은 고딕"/>
        <family val="0"/>
        <charset val="1"/>
      </rPr>
      <t xml:space="preserve">/ </t>
    </r>
    <r>
      <rPr>
        <sz val="9"/>
        <color rgb="FF808080"/>
        <rFont val="Noto Sans CJK SC"/>
        <family val="2"/>
      </rPr>
      <t xml:space="preserve">원금균등 </t>
    </r>
    <r>
      <rPr>
        <sz val="9"/>
        <color rgb="FF808080"/>
        <rFont val="맑은 고딕"/>
        <family val="0"/>
        <charset val="1"/>
      </rPr>
      <t xml:space="preserve">= </t>
    </r>
    <r>
      <rPr>
        <sz val="9"/>
        <color rgb="FF808080"/>
        <rFont val="Noto Sans CJK SC"/>
        <family val="2"/>
      </rPr>
      <t xml:space="preserve">원금만 같고 처음이 비쌈 </t>
    </r>
    <r>
      <rPr>
        <sz val="9"/>
        <color rgb="FF808080"/>
        <rFont val="맑은 고딕"/>
        <family val="0"/>
        <charset val="1"/>
      </rPr>
      <t xml:space="preserve">/ </t>
    </r>
    <r>
      <rPr>
        <sz val="9"/>
        <color rgb="FF808080"/>
        <rFont val="Noto Sans CJK SC"/>
        <family val="2"/>
      </rPr>
      <t xml:space="preserve">만기일시 </t>
    </r>
    <r>
      <rPr>
        <sz val="9"/>
        <color rgb="FF808080"/>
        <rFont val="맑은 고딕"/>
        <family val="0"/>
        <charset val="1"/>
      </rPr>
      <t xml:space="preserve">= </t>
    </r>
    <r>
      <rPr>
        <sz val="9"/>
        <color rgb="FF808080"/>
        <rFont val="Noto Sans CJK SC"/>
        <family val="2"/>
      </rPr>
      <t xml:space="preserve">이자만 내다 끝에 원금</t>
    </r>
  </si>
  <si>
    <t xml:space="preserve">첫 상환월</t>
  </si>
  <si>
    <r>
      <rPr>
        <sz val="10"/>
        <color rgb="FF000000"/>
        <rFont val="Noto Sans CJK SC"/>
        <family val="2"/>
      </rPr>
      <t xml:space="preserve">월 이자율 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자동</t>
    </r>
    <r>
      <rPr>
        <sz val="10"/>
        <color rgb="FF000000"/>
        <rFont val="맑은 고딕"/>
        <family val="0"/>
        <charset val="1"/>
      </rPr>
      <t xml:space="preserve">)</t>
    </r>
  </si>
  <si>
    <r>
      <rPr>
        <b val="true"/>
        <sz val="10"/>
        <color rgb="FF000000"/>
        <rFont val="Noto Sans CJK SC"/>
        <family val="2"/>
      </rPr>
      <t xml:space="preserve">매달 갚는 돈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자동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</si>
  <si>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t xml:space="preserve">■ 결과 — 전부 자동입니다</t>
  </si>
  <si>
    <t xml:space="preserve">계약대로만 낼 때 총 이자</t>
  </si>
  <si>
    <t xml:space="preserve">실제로 내는 총 이자</t>
  </si>
  <si>
    <t xml:space="preserve">아낀 이자</t>
  </si>
  <si>
    <r>
      <rPr>
        <sz val="9"/>
        <color rgb="FF006100"/>
        <rFont val="맑은 고딕"/>
        <family val="0"/>
        <charset val="1"/>
      </rPr>
      <t xml:space="preserve">← '</t>
    </r>
    <r>
      <rPr>
        <sz val="9"/>
        <color rgb="FF006100"/>
        <rFont val="Noto Sans CJK SC"/>
        <family val="2"/>
      </rPr>
      <t xml:space="preserve">더 갚는 돈</t>
    </r>
    <r>
      <rPr>
        <sz val="9"/>
        <color rgb="FF006100"/>
        <rFont val="맑은 고딕"/>
        <family val="0"/>
        <charset val="1"/>
      </rPr>
      <t xml:space="preserve">' </t>
    </r>
    <r>
      <rPr>
        <sz val="9"/>
        <color rgb="FF006100"/>
        <rFont val="Noto Sans CJK SC"/>
        <family val="2"/>
      </rPr>
      <t xml:space="preserve">칸을 채우면 이 두 줄이 움직입니다</t>
    </r>
  </si>
  <si>
    <t xml:space="preserve">실제로 걸리는 기간</t>
  </si>
  <si>
    <t xml:space="preserve">줄어든 기간</t>
  </si>
  <si>
    <r>
      <rPr>
        <sz val="10"/>
        <color rgb="FF000000"/>
        <rFont val="Noto Sans CJK SC"/>
        <family val="2"/>
      </rPr>
      <t xml:space="preserve">원금</t>
    </r>
    <r>
      <rPr>
        <sz val="10"/>
        <color rgb="FF000000"/>
        <rFont val="맑은 고딕"/>
        <family val="0"/>
        <charset val="1"/>
      </rPr>
      <t xml:space="preserve">+</t>
    </r>
    <r>
      <rPr>
        <sz val="10"/>
        <color rgb="FF000000"/>
        <rFont val="Noto Sans CJK SC"/>
        <family val="2"/>
      </rPr>
      <t xml:space="preserve">이자 전부 합쳐 내는 돈</t>
    </r>
  </si>
  <si>
    <t xml:space="preserve">회차</t>
  </si>
  <si>
    <t xml:space="preserve">납입월</t>
  </si>
  <si>
    <t xml:space="preserve">원금</t>
  </si>
  <si>
    <t xml:space="preserve">이자</t>
  </si>
  <si>
    <t xml:space="preserve">이번 달 합계</t>
  </si>
  <si>
    <r>
      <rPr>
        <b val="true"/>
        <sz val="10"/>
        <color rgb="FF000000"/>
        <rFont val="Noto Sans CJK SC"/>
        <family val="2"/>
      </rPr>
      <t xml:space="preserve">더 갚는 돈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선택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</si>
  <si>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t xml:space="preserve">남은 원금</t>
  </si>
  <si>
    <r>
      <rPr>
        <b val="true"/>
        <sz val="10"/>
        <color rgb="FF000000"/>
        <rFont val="Noto Sans CJK SC"/>
        <family val="2"/>
      </rPr>
      <t xml:space="preserve">월키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자동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</si>
  <si>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t xml:space="preserve">기준원금</t>
  </si>
  <si>
    <t xml:space="preserve">기준이자</t>
  </si>
  <si>
    <t xml:space="preserve">기준잔액</t>
  </si>
  <si>
    <r>
      <rPr>
        <sz val="9"/>
        <color rgb="FF595959"/>
        <rFont val="맑은 고딕"/>
        <family val="0"/>
        <charset val="1"/>
      </rPr>
      <t xml:space="preserve">· </t>
    </r>
    <r>
      <rPr>
        <sz val="9"/>
        <color rgb="FF595959"/>
        <rFont val="Noto Sans CJK SC"/>
        <family val="2"/>
      </rPr>
      <t xml:space="preserve">이자는 매달 </t>
    </r>
    <r>
      <rPr>
        <sz val="9"/>
        <color rgb="FF595959"/>
        <rFont val="맑은 고딕"/>
        <family val="0"/>
        <charset val="1"/>
      </rPr>
      <t xml:space="preserve">'</t>
    </r>
    <r>
      <rPr>
        <sz val="9"/>
        <color rgb="FF595959"/>
        <rFont val="Noto Sans CJK SC"/>
        <family val="2"/>
      </rPr>
      <t xml:space="preserve">남은 원금 </t>
    </r>
    <r>
      <rPr>
        <sz val="9"/>
        <color rgb="FF595959"/>
        <rFont val="맑은 고딕"/>
        <family val="0"/>
        <charset val="1"/>
      </rPr>
      <t xml:space="preserve">× </t>
    </r>
    <r>
      <rPr>
        <sz val="9"/>
        <color rgb="FF595959"/>
        <rFont val="Noto Sans CJK SC"/>
        <family val="2"/>
      </rPr>
      <t xml:space="preserve">월 이자율</t>
    </r>
    <r>
      <rPr>
        <sz val="9"/>
        <color rgb="FF595959"/>
        <rFont val="맑은 고딕"/>
        <family val="0"/>
        <charset val="1"/>
      </rPr>
      <t xml:space="preserve">' </t>
    </r>
    <r>
      <rPr>
        <sz val="9"/>
        <color rgb="FF595959"/>
        <rFont val="Noto Sans CJK SC"/>
        <family val="2"/>
      </rPr>
      <t xml:space="preserve">로 계산합니다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원 단위에서 반올림합니다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</si>
  <si>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맑은 고딕"/>
        <family val="0"/>
        <charset val="1"/>
      </rPr>
      <t xml:space="preserve">· </t>
    </r>
    <r>
      <rPr>
        <sz val="9"/>
        <color rgb="FF595959"/>
        <rFont val="Noto Sans CJK SC"/>
        <family val="2"/>
      </rPr>
      <t xml:space="preserve">실제 은행 고지서와 몇 원 차이가 날 수 있습니다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일수 계산 방식과 반올림 규칙이 은행마다 다르기 때문입니다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</si>
  <si>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맑은 고딕"/>
        <family val="0"/>
        <charset val="1"/>
      </rPr>
      <t xml:space="preserve">· </t>
    </r>
    <r>
      <rPr>
        <sz val="9"/>
        <color rgb="FF595959"/>
        <rFont val="Noto Sans CJK SC"/>
        <family val="2"/>
      </rPr>
      <t xml:space="preserve">변동금리는 반영하지 않습니다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금리가 바뀌면 연 이자율 칸을 바꿔 다시 보세요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</si>
  <si>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맑은 고딕"/>
        <family val="0"/>
        <charset val="1"/>
      </rPr>
      <t xml:space="preserve">· </t>
    </r>
    <r>
      <rPr>
        <sz val="9"/>
        <color rgb="FF595959"/>
        <rFont val="Noto Sans CJK SC"/>
        <family val="2"/>
      </rPr>
      <t xml:space="preserve">중도상환수수료는 넣지 않았습니다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대출 상품마다 다르고 자주 바뀌기 때문입니다 — 실제로 더 갚기 전에 은행에 확인하세요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</si>
  <si>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맑은 고딕"/>
        <family val="0"/>
        <charset val="1"/>
      </rPr>
      <t xml:space="preserve">· LTV·DSR </t>
    </r>
    <r>
      <rPr>
        <sz val="9"/>
        <color rgb="FF595959"/>
        <rFont val="Noto Sans CJK SC"/>
        <family val="2"/>
      </rPr>
      <t xml:space="preserve">같은 대출 규제 한도는 일부러 넣지 않았습니다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자주 바뀌어서 파일에 박아 두면 곧 틀린 값이 됩니다</t>
    </r>
    <r>
      <rPr>
        <sz val="9"/>
        <color rgb="FF595959"/>
        <rFont val="맑은 고딕"/>
        <family val="0"/>
        <charset val="1"/>
      </rPr>
      <t xml:space="preserve">.</t>
    </r>
  </si>
  <si>
    <t xml:space="preserve">이 파일은 무엇인가</t>
  </si>
  <si>
    <r>
      <rPr>
        <sz val="10"/>
        <color rgb="FF000000"/>
        <rFont val="Noto Sans CJK SC"/>
        <family val="2"/>
      </rPr>
      <t xml:space="preserve">지금 내 재산이 얼마이고 빚이 얼마인지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그래서 순자산이 어느 쪽으로 가고 있는지 보는 파일입니다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</si>
  <si>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탭이 두 개입니다</t>
    </r>
    <r>
      <rPr>
        <sz val="10"/>
        <color rgb="FF000000"/>
        <rFont val="맑은 고딕"/>
        <family val="0"/>
        <charset val="1"/>
      </rPr>
      <t xml:space="preserve">. [</t>
    </r>
    <r>
      <rPr>
        <sz val="10"/>
        <color rgb="FF000000"/>
        <rFont val="Noto Sans CJK SC"/>
        <family val="2"/>
      </rPr>
      <t xml:space="preserve">자산현황</t>
    </r>
    <r>
      <rPr>
        <sz val="10"/>
        <color rgb="FF000000"/>
        <rFont val="맑은 고딕"/>
        <family val="0"/>
        <charset val="1"/>
      </rPr>
      <t xml:space="preserve">] </t>
    </r>
    <r>
      <rPr>
        <sz val="10"/>
        <color rgb="FF000000"/>
        <rFont val="Noto Sans CJK SC"/>
        <family val="2"/>
      </rPr>
      <t xml:space="preserve">과 </t>
    </r>
    <r>
      <rPr>
        <sz val="10"/>
        <color rgb="FF000000"/>
        <rFont val="맑은 고딕"/>
        <family val="0"/>
        <charset val="1"/>
      </rPr>
      <t xml:space="preserve">[</t>
    </r>
    <r>
      <rPr>
        <sz val="10"/>
        <color rgb="FF000000"/>
        <rFont val="Noto Sans CJK SC"/>
        <family val="2"/>
      </rPr>
      <t xml:space="preserve">대출상환</t>
    </r>
    <r>
      <rPr>
        <sz val="10"/>
        <color rgb="FF000000"/>
        <rFont val="맑은 고딕"/>
        <family val="0"/>
        <charset val="1"/>
      </rPr>
      <t xml:space="preserve">] </t>
    </r>
    <r>
      <rPr>
        <sz val="10"/>
        <color rgb="FF000000"/>
        <rFont val="Noto Sans CJK SC"/>
        <family val="2"/>
      </rPr>
      <t xml:space="preserve">이고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둘은 연결되어 있습니다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</si>
  <si>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b val="true"/>
        <sz val="11"/>
        <color rgb="FF1F4E3D"/>
        <rFont val="Noto Sans CJK SC"/>
        <family val="2"/>
      </rPr>
      <t xml:space="preserve">먼저 </t>
    </r>
    <r>
      <rPr>
        <b val="true"/>
        <sz val="11"/>
        <color rgb="FF1F4E3D"/>
        <rFont val="맑은 고딕"/>
        <family val="0"/>
        <charset val="1"/>
      </rPr>
      <t xml:space="preserve">[</t>
    </r>
    <r>
      <rPr>
        <b val="true"/>
        <sz val="11"/>
        <color rgb="FF1F4E3D"/>
        <rFont val="Noto Sans CJK SC"/>
        <family val="2"/>
      </rPr>
      <t xml:space="preserve">대출상환</t>
    </r>
    <r>
      <rPr>
        <b val="true"/>
        <sz val="11"/>
        <color rgb="FF1F4E3D"/>
        <rFont val="맑은 고딕"/>
        <family val="0"/>
        <charset val="1"/>
      </rPr>
      <t xml:space="preserve">] </t>
    </r>
    <r>
      <rPr>
        <b val="true"/>
        <sz val="11"/>
        <color rgb="FF1F4E3D"/>
        <rFont val="Noto Sans CJK SC"/>
        <family val="2"/>
      </rPr>
      <t xml:space="preserve">부터 채우세요</t>
    </r>
  </si>
  <si>
    <r>
      <rPr>
        <sz val="10"/>
        <color rgb="FF000000"/>
        <rFont val="Noto Sans CJK SC"/>
        <family val="2"/>
      </rPr>
      <t xml:space="preserve">노란 칸 다섯 개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대출 금액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연 이자율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기간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상환 방식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첫 상환월</t>
    </r>
    <r>
      <rPr>
        <sz val="10"/>
        <color rgb="FF000000"/>
        <rFont val="맑은 고딕"/>
        <family val="0"/>
        <charset val="1"/>
      </rPr>
      <t xml:space="preserve">)</t>
    </r>
    <r>
      <rPr>
        <sz val="10"/>
        <color rgb="FF000000"/>
        <rFont val="Noto Sans CJK SC"/>
        <family val="2"/>
      </rPr>
      <t xml:space="preserve">만 넣으면</t>
    </r>
  </si>
  <si>
    <r>
      <rPr>
        <sz val="10"/>
        <color rgb="FF000000"/>
        <rFont val="Noto Sans CJK SC"/>
        <family val="2"/>
      </rPr>
      <t xml:space="preserve">회차별 원금과 이자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남은 원금이 전부 자동으로 계산됩니다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</si>
  <si>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대출이 없으시면 이 시트는 비워 두셔도 됩니다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</si>
  <si>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b val="true"/>
        <sz val="11"/>
        <color rgb="FF1F4E3D"/>
        <rFont val="맑은 고딕"/>
        <family val="0"/>
        <charset val="1"/>
      </rPr>
      <t xml:space="preserve">'</t>
    </r>
    <r>
      <rPr>
        <b val="true"/>
        <sz val="11"/>
        <color rgb="FF1F4E3D"/>
        <rFont val="Noto Sans CJK SC"/>
        <family val="2"/>
      </rPr>
      <t xml:space="preserve">더 갚는 돈</t>
    </r>
    <r>
      <rPr>
        <b val="true"/>
        <sz val="11"/>
        <color rgb="FF1F4E3D"/>
        <rFont val="맑은 고딕"/>
        <family val="0"/>
        <charset val="1"/>
      </rPr>
      <t xml:space="preserve">' </t>
    </r>
    <r>
      <rPr>
        <b val="true"/>
        <sz val="11"/>
        <color rgb="FF1F4E3D"/>
        <rFont val="Noto Sans CJK SC"/>
        <family val="2"/>
      </rPr>
      <t xml:space="preserve">칸이 이 파일의 쓸모입니다</t>
    </r>
  </si>
  <si>
    <r>
      <rPr>
        <sz val="10"/>
        <color rgb="FF000000"/>
        <rFont val="Noto Sans CJK SC"/>
        <family val="2"/>
      </rPr>
      <t xml:space="preserve">회차마다 여윳돈을 더 넣어 보세요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위쪽 요약에 </t>
    </r>
    <r>
      <rPr>
        <sz val="10"/>
        <color rgb="FF000000"/>
        <rFont val="맑은 고딕"/>
        <family val="0"/>
        <charset val="1"/>
      </rPr>
      <t xml:space="preserve">'</t>
    </r>
    <r>
      <rPr>
        <sz val="10"/>
        <color rgb="FF000000"/>
        <rFont val="Noto Sans CJK SC"/>
        <family val="2"/>
      </rPr>
      <t xml:space="preserve">아낀 이자</t>
    </r>
    <r>
      <rPr>
        <sz val="10"/>
        <color rgb="FF000000"/>
        <rFont val="맑은 고딕"/>
        <family val="0"/>
        <charset val="1"/>
      </rPr>
      <t xml:space="preserve">' </t>
    </r>
    <r>
      <rPr>
        <sz val="10"/>
        <color rgb="FF000000"/>
        <rFont val="Noto Sans CJK SC"/>
        <family val="2"/>
      </rPr>
      <t xml:space="preserve">와 </t>
    </r>
    <r>
      <rPr>
        <sz val="10"/>
        <color rgb="FF000000"/>
        <rFont val="맑은 고딕"/>
        <family val="0"/>
        <charset val="1"/>
      </rPr>
      <t xml:space="preserve">'</t>
    </r>
    <r>
      <rPr>
        <sz val="10"/>
        <color rgb="FF000000"/>
        <rFont val="Noto Sans CJK SC"/>
        <family val="2"/>
      </rPr>
      <t xml:space="preserve">줄어든 기간</t>
    </r>
    <r>
      <rPr>
        <sz val="10"/>
        <color rgb="FF000000"/>
        <rFont val="맑은 고딕"/>
        <family val="0"/>
        <charset val="1"/>
      </rPr>
      <t xml:space="preserve">' </t>
    </r>
    <r>
      <rPr>
        <sz val="10"/>
        <color rgb="FF000000"/>
        <rFont val="Noto Sans CJK SC"/>
        <family val="2"/>
      </rPr>
      <t xml:space="preserve">이 바로 나옵니다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</si>
  <si>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매달 </t>
    </r>
    <r>
      <rPr>
        <sz val="10"/>
        <color rgb="FF000000"/>
        <rFont val="맑은 고딕"/>
        <family val="0"/>
        <charset val="1"/>
      </rPr>
      <t xml:space="preserve">10</t>
    </r>
    <r>
      <rPr>
        <sz val="10"/>
        <color rgb="FF000000"/>
        <rFont val="Noto Sans CJK SC"/>
        <family val="2"/>
      </rPr>
      <t xml:space="preserve">만원을 더 넣으면 몇 년이 줄어드는지 숫자로 보입니다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</si>
  <si>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단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중도상환수수료는 계산에 없습니다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실제로 더 갚기 전에 은행에 물어보세요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</si>
  <si>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b val="true"/>
        <sz val="11"/>
        <color rgb="FF1F4E3D"/>
        <rFont val="Noto Sans CJK SC"/>
        <family val="2"/>
      </rPr>
      <t xml:space="preserve">그다음 </t>
    </r>
    <r>
      <rPr>
        <b val="true"/>
        <sz val="11"/>
        <color rgb="FF1F4E3D"/>
        <rFont val="맑은 고딕"/>
        <family val="0"/>
        <charset val="1"/>
      </rPr>
      <t xml:space="preserve">[</t>
    </r>
    <r>
      <rPr>
        <b val="true"/>
        <sz val="11"/>
        <color rgb="FF1F4E3D"/>
        <rFont val="Noto Sans CJK SC"/>
        <family val="2"/>
      </rPr>
      <t xml:space="preserve">자산현황</t>
    </r>
    <r>
      <rPr>
        <b val="true"/>
        <sz val="11"/>
        <color rgb="FF1F4E3D"/>
        <rFont val="맑은 고딕"/>
        <family val="0"/>
        <charset val="1"/>
      </rPr>
      <t xml:space="preserve">]</t>
    </r>
  </si>
  <si>
    <r>
      <rPr>
        <sz val="10"/>
        <color rgb="FF000000"/>
        <rFont val="Noto Sans CJK SC"/>
        <family val="2"/>
      </rPr>
      <t xml:space="preserve">달마다 통장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주식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부동산 잔액을 적습니다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부채 첫 줄은 대출상환 시트에서 저절로 넘어옵니다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</si>
  <si>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맨 아래 순자산 줄이 우상향하면 잘 가고 있는 겁니다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금액보다 방향을 보세요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</si>
  <si>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칸 색깔</t>
  </si>
  <si>
    <r>
      <rPr>
        <sz val="10"/>
        <color rgb="FF000000"/>
        <rFont val="Noto Sans CJK SC"/>
        <family val="2"/>
      </rPr>
      <t xml:space="preserve">노란 칸 </t>
    </r>
    <r>
      <rPr>
        <sz val="10"/>
        <color rgb="FF000000"/>
        <rFont val="맑은 고딕"/>
        <family val="0"/>
        <charset val="1"/>
      </rPr>
      <t xml:space="preserve">= </t>
    </r>
    <r>
      <rPr>
        <sz val="10"/>
        <color rgb="FF000000"/>
        <rFont val="Noto Sans CJK SC"/>
        <family val="2"/>
      </rPr>
      <t xml:space="preserve">직접 적는 곳</t>
    </r>
    <r>
      <rPr>
        <sz val="10"/>
        <color rgb="FF000000"/>
        <rFont val="맑은 고딕"/>
        <family val="0"/>
        <charset val="1"/>
      </rPr>
      <t xml:space="preserve">.     </t>
    </r>
    <r>
      <rPr>
        <sz val="10"/>
        <color rgb="FF000000"/>
        <rFont val="Noto Sans CJK SC"/>
        <family val="2"/>
      </rPr>
      <t xml:space="preserve">회색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파란 칸 </t>
    </r>
    <r>
      <rPr>
        <sz val="10"/>
        <color rgb="FF000000"/>
        <rFont val="맑은 고딕"/>
        <family val="0"/>
        <charset val="1"/>
      </rPr>
      <t xml:space="preserve">= </t>
    </r>
    <r>
      <rPr>
        <sz val="10"/>
        <color rgb="FF000000"/>
        <rFont val="Noto Sans CJK SC"/>
        <family val="2"/>
      </rPr>
      <t xml:space="preserve">자동 계산 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지우면 계산이 깨집니다</t>
    </r>
    <r>
      <rPr>
        <sz val="10"/>
        <color rgb="FF000000"/>
        <rFont val="맑은 고딕"/>
        <family val="0"/>
        <charset val="1"/>
      </rPr>
      <t xml:space="preserve">).</t>
    </r>
  </si>
  <si>
    <t xml:space="preserve">일부러 넣지 않은 것</t>
  </si>
  <si>
    <r>
      <rPr>
        <sz val="10"/>
        <color rgb="FF000000"/>
        <rFont val="맑은 고딕"/>
        <family val="0"/>
        <charset val="1"/>
      </rPr>
      <t xml:space="preserve">LTV · DSR </t>
    </r>
    <r>
      <rPr>
        <sz val="10"/>
        <color rgb="FF000000"/>
        <rFont val="Noto Sans CJK SC"/>
        <family val="2"/>
      </rPr>
      <t xml:space="preserve">같은 대출 규제 한도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중도상환수수료율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세율은 넣지 않았습니다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</si>
  <si>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자주 바뀌는 숫자라서 파일에 박아 두면 내려받으신 그날부터 틀린 값이 되기 때문입니다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</si>
  <si>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이 파일은 더하고 빼고 곱하는 계산만 합니다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바뀌는 기준은 </t>
    </r>
    <r>
      <rPr>
        <sz val="10"/>
        <color rgb="FF000000"/>
        <rFont val="맑은 고딕"/>
        <family val="0"/>
        <charset val="1"/>
      </rPr>
      <t xml:space="preserve">wolmoa.com </t>
    </r>
    <r>
      <rPr>
        <sz val="10"/>
        <color rgb="FF000000"/>
        <rFont val="Noto Sans CJK SC"/>
        <family val="2"/>
      </rPr>
      <t xml:space="preserve">에서 보세요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</si>
  <si>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구글 시트에서 쓰시려면</t>
  </si>
  <si>
    <r>
      <rPr>
        <sz val="10"/>
        <color rgb="FF000000"/>
        <rFont val="Noto Sans CJK SC"/>
        <family val="2"/>
      </rPr>
      <t xml:space="preserve">구글 드라이브에 파일을 끌어다 놓고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열어서 </t>
    </r>
    <r>
      <rPr>
        <sz val="10"/>
        <color rgb="FF000000"/>
        <rFont val="맑은 고딕"/>
        <family val="0"/>
        <charset val="1"/>
      </rPr>
      <t xml:space="preserve">[</t>
    </r>
    <r>
      <rPr>
        <sz val="10"/>
        <color rgb="FF000000"/>
        <rFont val="Noto Sans CJK SC"/>
        <family val="2"/>
      </rPr>
      <t xml:space="preserve">파일</t>
    </r>
    <r>
      <rPr>
        <sz val="10"/>
        <color rgb="FF000000"/>
        <rFont val="맑은 고딕"/>
        <family val="0"/>
        <charset val="1"/>
      </rPr>
      <t xml:space="preserve">] → [Google </t>
    </r>
    <r>
      <rPr>
        <sz val="10"/>
        <color rgb="FF000000"/>
        <rFont val="Noto Sans CJK SC"/>
        <family val="2"/>
      </rPr>
      <t xml:space="preserve">스프레드시트로 저장</t>
    </r>
    <r>
      <rPr>
        <sz val="10"/>
        <color rgb="FF000000"/>
        <rFont val="맑은 고딕"/>
        <family val="0"/>
        <charset val="1"/>
      </rPr>
      <t xml:space="preserve">] </t>
    </r>
    <r>
      <rPr>
        <sz val="10"/>
        <color rgb="FF000000"/>
        <rFont val="Noto Sans CJK SC"/>
        <family val="2"/>
      </rPr>
      <t xml:space="preserve">을 누르세요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</si>
  <si>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주의</t>
  </si>
  <si>
    <r>
      <rPr>
        <sz val="10"/>
        <color rgb="FF000000"/>
        <rFont val="Noto Sans CJK SC"/>
        <family val="2"/>
      </rPr>
      <t xml:space="preserve">이 파일은 본인이 정리용으로 쓰는 기록장입니다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대출 심사나 세금 신고에 내는 서류가 아닙니다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</si>
  <si>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실제 상환액과 이자는 은행이 알려 주는 값이 기준입니다</t>
    </r>
    <r>
      <rPr>
        <sz val="10"/>
        <color rgb="FF000000"/>
        <rFont val="맑은 고딕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</si>
</sst>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"/>
    <numFmt numFmtId="166" formatCode="#,##0;\-#,##0;\-"/>
    <numFmt numFmtId="167" formatCode="0.00%"/>
    <numFmt numFmtId="168" formatCode="0&quot;개월&quot;"/>
    <numFmt numFmtId="169" formatCode="yyyy\-mm"/>
    <numFmt numFmtId="170" formatCode="0.0000%"/>
    <numFmt numFmtId="171" formatCode="General"/>
    <numFmt numFmtId="172" formatCode="#,##0;\-#,##0;;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맑은 고딕"/>
      <family val="0"/>
      <charset val="1"/>
    </font>
    <font>
      <b val="true"/>
      <sz val="10"/>
      <color rgb="FFFFFFFF"/>
      <name val="Noto Sans CJK SC"/>
      <family val="2"/>
    </font>
    <font>
      <sz val="9"/>
      <color rgb="FF833C00"/>
      <name val="Noto Sans CJK SC"/>
      <family val="2"/>
    </font>
    <font>
      <sz val="9"/>
      <color rgb="FF833C00"/>
      <name val="맑은 고딕"/>
      <family val="0"/>
      <charset val="1"/>
    </font>
    <font>
      <b val="true"/>
      <sz val="10"/>
      <color rgb="FF000000"/>
      <name val="Noto Sans CJK SC"/>
      <family val="2"/>
    </font>
    <font>
      <b val="true"/>
      <sz val="11"/>
      <color rgb="FF0000FF"/>
      <name val="맑은 고딕"/>
      <family val="0"/>
      <charset val="1"/>
    </font>
    <font>
      <sz val="9"/>
      <color rgb="FF808080"/>
      <name val="Noto Sans CJK SC"/>
      <family val="2"/>
    </font>
    <font>
      <sz val="9"/>
      <color rgb="FF808080"/>
      <name val="맑은 고딕"/>
      <family val="0"/>
      <charset val="1"/>
    </font>
    <font>
      <b val="true"/>
      <sz val="9"/>
      <color rgb="FF000000"/>
      <name val="맑은 고딕"/>
      <family val="0"/>
      <charset val="1"/>
    </font>
    <font>
      <b val="true"/>
      <sz val="10"/>
      <color rgb="FF1F4E3D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맑은 고딕"/>
      <family val="0"/>
      <charset val="1"/>
    </font>
    <font>
      <b val="true"/>
      <sz val="10"/>
      <color rgb="FF000000"/>
      <name val="맑은 고딕"/>
      <family val="0"/>
      <charset val="1"/>
    </font>
    <font>
      <b val="true"/>
      <sz val="10"/>
      <color rgb="FF1F4E3D"/>
      <name val="맑은 고딕"/>
      <family val="0"/>
      <charset val="1"/>
    </font>
    <font>
      <b val="true"/>
      <sz val="11"/>
      <color rgb="FF000000"/>
      <name val="Noto Sans CJK SC"/>
      <family val="2"/>
    </font>
    <font>
      <b val="true"/>
      <sz val="11"/>
      <color rgb="FF000000"/>
      <name val="맑은 고딕"/>
      <family val="0"/>
      <charset val="1"/>
    </font>
    <font>
      <sz val="9"/>
      <color rgb="FF595959"/>
      <name val="맑은 고딕"/>
      <family val="0"/>
      <charset val="1"/>
    </font>
    <font>
      <sz val="9"/>
      <color rgb="FF595959"/>
      <name val="Noto Sans CJK SC"/>
      <family val="2"/>
    </font>
    <font>
      <b val="true"/>
      <sz val="11"/>
      <color rgb="FF0000FF"/>
      <name val="Noto Sans CJK SC"/>
      <family val="2"/>
    </font>
    <font>
      <b val="true"/>
      <sz val="10"/>
      <color rgb="FF006100"/>
      <name val="맑은 고딕"/>
      <family val="0"/>
      <charset val="1"/>
    </font>
    <font>
      <sz val="9"/>
      <color rgb="FF006100"/>
      <name val="맑은 고딕"/>
      <family val="0"/>
      <charset val="1"/>
    </font>
    <font>
      <sz val="9"/>
      <color rgb="FF006100"/>
      <name val="Noto Sans CJK SC"/>
      <family val="2"/>
    </font>
    <font>
      <sz val="9"/>
      <color rgb="FF000000"/>
      <name val="맑은 고딕"/>
      <family val="0"/>
      <charset val="1"/>
    </font>
    <font>
      <b val="true"/>
      <sz val="11"/>
      <color rgb="FF1F4E3D"/>
      <name val="Noto Sans CJK SC"/>
      <family val="2"/>
    </font>
    <font>
      <b val="true"/>
      <sz val="11"/>
      <color rgb="FF1F4E3D"/>
      <name val="맑은 고딕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4E3D"/>
        <bgColor rgb="FF003366"/>
      </patternFill>
    </fill>
    <fill>
      <patternFill patternType="solid">
        <fgColor rgb="FFFBE5D6"/>
        <bgColor rgb="FFFFF6CC"/>
      </patternFill>
    </fill>
    <fill>
      <patternFill patternType="solid">
        <fgColor rgb="FFFFF6CC"/>
        <bgColor rgb="FFFBE5D6"/>
      </patternFill>
    </fill>
    <fill>
      <patternFill patternType="solid">
        <fgColor rgb="FFD9E2F3"/>
        <bgColor rgb="FFDDEBF7"/>
      </patternFill>
    </fill>
    <fill>
      <patternFill patternType="solid">
        <fgColor rgb="FFDFF0E6"/>
        <bgColor rgb="FFDDEBF7"/>
      </patternFill>
    </fill>
    <fill>
      <patternFill patternType="solid">
        <fgColor rgb="FFDDEBF7"/>
        <bgColor rgb="FFDFF0E6"/>
      </patternFill>
    </fill>
    <fill>
      <patternFill patternType="solid">
        <fgColor rgb="FFF2F2F2"/>
        <bgColor rgb="FFDFF0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6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6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26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6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26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맑은 고딕"/>
        <charset val="1"/>
        <family val="0"/>
        <b val="1"/>
        <color rgb="FFC00000"/>
      </font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6CC"/>
      <rgbColor rgb="FFDFF0E6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F2F2F2"/>
      <rgbColor rgb="FFFFFF99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003366"/>
      <rgbColor rgb="FF339966"/>
      <rgbColor rgb="FF003300"/>
      <rgbColor rgb="FF333300"/>
      <rgbColor rgb="FF833C00"/>
      <rgbColor rgb="FF993366"/>
      <rgbColor rgb="FF333399"/>
      <rgbColor rgb="FF1F4E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3D"/>
    <pageSetUpPr fitToPage="false"/>
  </sheetPr>
  <dimension ref="A1:M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13" min="2" style="0" width="13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customFormat="false" ht="15" hidden="false" customHeight="false" outlineLevel="0" collapsed="false">
      <c r="A4" s="3" t="s">
        <v>2</v>
      </c>
      <c r="B4" s="4" t="n">
        <v>2026</v>
      </c>
      <c r="C4" s="5" t="s">
        <v>3</v>
      </c>
    </row>
    <row r="6" customFormat="false" ht="24" hidden="false" customHeight="true" outlineLevel="0" collapsed="false">
      <c r="A6" s="6" t="s">
        <v>4</v>
      </c>
      <c r="B6" s="7" t="str">
        <f aca="false">TEXT(DATE($B$4,1,1),"yyyy-mm")</f>
        <v>2026-01</v>
      </c>
      <c r="C6" s="7" t="str">
        <f aca="false">TEXT(DATE($B$4,2,1),"yyyy-mm")</f>
        <v>2026-02</v>
      </c>
      <c r="D6" s="7" t="str">
        <f aca="false">TEXT(DATE($B$4,3,1),"yyyy-mm")</f>
        <v>2026-03</v>
      </c>
      <c r="E6" s="7" t="str">
        <f aca="false">TEXT(DATE($B$4,4,1),"yyyy-mm")</f>
        <v>2026-04</v>
      </c>
      <c r="F6" s="7" t="str">
        <f aca="false">TEXT(DATE($B$4,5,1),"yyyy-mm")</f>
        <v>2026-05</v>
      </c>
      <c r="G6" s="7" t="str">
        <f aca="false">TEXT(DATE($B$4,6,1),"yyyy-mm")</f>
        <v>2026-06</v>
      </c>
      <c r="H6" s="7" t="str">
        <f aca="false">TEXT(DATE($B$4,7,1),"yyyy-mm")</f>
        <v>2026-07</v>
      </c>
      <c r="I6" s="7" t="str">
        <f aca="false">TEXT(DATE($B$4,8,1),"yyyy-mm")</f>
        <v>2026-08</v>
      </c>
      <c r="J6" s="7" t="str">
        <f aca="false">TEXT(DATE($B$4,9,1),"yyyy-mm")</f>
        <v>2026-09</v>
      </c>
      <c r="K6" s="7" t="str">
        <f aca="false">TEXT(DATE($B$4,10,1),"yyyy-mm")</f>
        <v>2026-10</v>
      </c>
      <c r="L6" s="7" t="str">
        <f aca="false">TEXT(DATE($B$4,11,1),"yyyy-mm")</f>
        <v>2026-11</v>
      </c>
      <c r="M6" s="7" t="str">
        <f aca="false">TEXT(DATE($B$4,12,1),"yyyy-mm")</f>
        <v>2026-12</v>
      </c>
    </row>
    <row r="7" customFormat="false" ht="19.5" hidden="false" customHeight="true" outlineLevel="0" collapsed="false">
      <c r="A7" s="8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customFormat="false" ht="15" hidden="false" customHeight="false" outlineLevel="0" collapsed="false">
      <c r="A8" s="9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customFormat="false" ht="15" hidden="false" customHeight="false" outlineLevel="0" collapsed="false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customFormat="false" ht="15" hidden="false" customHeight="false" outlineLevel="0" collapsed="false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customFormat="false" ht="15" hidden="false" customHeight="false" outlineLevel="0" collapsed="false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customFormat="false" ht="15" hidden="false" customHeight="false" outlineLevel="0" collapsed="false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customFormat="false" ht="15" hidden="false" customHeight="false" outlineLevel="0" collapsed="false">
      <c r="A13" s="9" t="s">
        <v>11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customFormat="false" ht="15" hidden="false" customHeight="false" outlineLevel="0" collapsed="false">
      <c r="A14" s="9" t="s">
        <v>12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customFormat="false" ht="15" hidden="false" customHeight="false" outlineLevel="0" collapsed="false">
      <c r="A15" s="9" t="s">
        <v>13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customFormat="false" ht="15" hidden="false" customHeight="false" outlineLevel="0" collapsed="false">
      <c r="A16" s="9" t="s">
        <v>14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customFormat="false" ht="15" hidden="false" customHeight="false" outlineLevel="0" collapsed="false">
      <c r="A17" s="11" t="s">
        <v>15</v>
      </c>
      <c r="B17" s="12" t="n">
        <f aca="false">SUM(B8:B16)</f>
        <v>0</v>
      </c>
      <c r="C17" s="12" t="n">
        <f aca="false">SUM(C8:C16)</f>
        <v>0</v>
      </c>
      <c r="D17" s="12" t="n">
        <f aca="false">SUM(D8:D16)</f>
        <v>0</v>
      </c>
      <c r="E17" s="12" t="n">
        <f aca="false">SUM(E8:E16)</f>
        <v>0</v>
      </c>
      <c r="F17" s="12" t="n">
        <f aca="false">SUM(F8:F16)</f>
        <v>0</v>
      </c>
      <c r="G17" s="12" t="n">
        <f aca="false">SUM(G8:G16)</f>
        <v>0</v>
      </c>
      <c r="H17" s="12" t="n">
        <f aca="false">SUM(H8:H16)</f>
        <v>0</v>
      </c>
      <c r="I17" s="12" t="n">
        <f aca="false">SUM(I8:I16)</f>
        <v>0</v>
      </c>
      <c r="J17" s="12" t="n">
        <f aca="false">SUM(J8:J16)</f>
        <v>0</v>
      </c>
      <c r="K17" s="12" t="n">
        <f aca="false">SUM(K8:K16)</f>
        <v>0</v>
      </c>
      <c r="L17" s="12" t="n">
        <f aca="false">SUM(L8:L16)</f>
        <v>0</v>
      </c>
      <c r="M17" s="12" t="n">
        <f aca="false">SUM(M8:M16)</f>
        <v>0</v>
      </c>
    </row>
    <row r="19" customFormat="false" ht="19.5" hidden="false" customHeight="true" outlineLevel="0" collapsed="false">
      <c r="A19" s="8" t="s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customFormat="false" ht="15" hidden="false" customHeight="false" outlineLevel="0" collapsed="false">
      <c r="A20" s="13" t="s">
        <v>17</v>
      </c>
      <c r="B20" s="14" t="n">
        <f aca="false">IFERROR(INDEX(대출상환!$G$22:$G$381,MATCH(B$6,대출상환!$H$22:$H$381,0)),0)</f>
        <v>0</v>
      </c>
      <c r="C20" s="14" t="n">
        <f aca="false">IFERROR(INDEX(대출상환!$G$22:$G$381,MATCH(C$6,대출상환!$H$22:$H$381,0)),0)</f>
        <v>0</v>
      </c>
      <c r="D20" s="14" t="n">
        <f aca="false">IFERROR(INDEX(대출상환!$G$22:$G$381,MATCH(D$6,대출상환!$H$22:$H$381,0)),0)</f>
        <v>0</v>
      </c>
      <c r="E20" s="14" t="n">
        <f aca="false">IFERROR(INDEX(대출상환!$G$22:$G$381,MATCH(E$6,대출상환!$H$22:$H$381,0)),0)</f>
        <v>0</v>
      </c>
      <c r="F20" s="14" t="n">
        <f aca="false">IFERROR(INDEX(대출상환!$G$22:$G$381,MATCH(F$6,대출상환!$H$22:$H$381,0)),0)</f>
        <v>0</v>
      </c>
      <c r="G20" s="14" t="n">
        <f aca="false">IFERROR(INDEX(대출상환!$G$22:$G$381,MATCH(G$6,대출상환!$H$22:$H$381,0)),0)</f>
        <v>0</v>
      </c>
      <c r="H20" s="14" t="n">
        <f aca="false">IFERROR(INDEX(대출상환!$G$22:$G$381,MATCH(H$6,대출상환!$H$22:$H$381,0)),0)</f>
        <v>0</v>
      </c>
      <c r="I20" s="14" t="n">
        <f aca="false">IFERROR(INDEX(대출상환!$G$22:$G$381,MATCH(I$6,대출상환!$H$22:$H$381,0)),0)</f>
        <v>0</v>
      </c>
      <c r="J20" s="14" t="n">
        <f aca="false">IFERROR(INDEX(대출상환!$G$22:$G$381,MATCH(J$6,대출상환!$H$22:$H$381,0)),0)</f>
        <v>299582948</v>
      </c>
      <c r="K20" s="14" t="n">
        <f aca="false">IFERROR(INDEX(대출상환!$G$22:$G$381,MATCH(K$6,대출상환!$H$22:$H$381,0)),0)</f>
        <v>299164436</v>
      </c>
      <c r="L20" s="14" t="n">
        <f aca="false">IFERROR(INDEX(대출상환!$G$22:$G$381,MATCH(L$6,대출상환!$H$22:$H$381,0)),0)</f>
        <v>298744460</v>
      </c>
      <c r="M20" s="14" t="n">
        <f aca="false">IFERROR(INDEX(대출상환!$G$22:$G$381,MATCH(M$6,대출상환!$H$22:$H$381,0)),0)</f>
        <v>298323014</v>
      </c>
    </row>
    <row r="21" customFormat="false" ht="15" hidden="false" customHeight="false" outlineLevel="0" collapsed="false">
      <c r="A21" s="9" t="s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customFormat="false" ht="15" hidden="false" customHeight="false" outlineLevel="0" collapsed="false">
      <c r="A22" s="9" t="s">
        <v>19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customFormat="false" ht="15" hidden="false" customHeight="false" outlineLevel="0" collapsed="false">
      <c r="A23" s="9" t="s">
        <v>20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customFormat="false" ht="15" hidden="false" customHeight="false" outlineLevel="0" collapsed="false">
      <c r="A24" s="9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customFormat="false" ht="15" hidden="false" customHeight="false" outlineLevel="0" collapsed="false">
      <c r="A25" s="11" t="s">
        <v>22</v>
      </c>
      <c r="B25" s="12" t="n">
        <f aca="false">SUM(B20:B24)</f>
        <v>0</v>
      </c>
      <c r="C25" s="12" t="n">
        <f aca="false">SUM(C20:C24)</f>
        <v>0</v>
      </c>
      <c r="D25" s="12" t="n">
        <f aca="false">SUM(D20:D24)</f>
        <v>0</v>
      </c>
      <c r="E25" s="12" t="n">
        <f aca="false">SUM(E20:E24)</f>
        <v>0</v>
      </c>
      <c r="F25" s="12" t="n">
        <f aca="false">SUM(F20:F24)</f>
        <v>0</v>
      </c>
      <c r="G25" s="12" t="n">
        <f aca="false">SUM(G20:G24)</f>
        <v>0</v>
      </c>
      <c r="H25" s="12" t="n">
        <f aca="false">SUM(H20:H24)</f>
        <v>0</v>
      </c>
      <c r="I25" s="12" t="n">
        <f aca="false">SUM(I20:I24)</f>
        <v>0</v>
      </c>
      <c r="J25" s="12" t="n">
        <f aca="false">SUM(J20:J24)</f>
        <v>299582948</v>
      </c>
      <c r="K25" s="12" t="n">
        <f aca="false">SUM(K20:K24)</f>
        <v>299164436</v>
      </c>
      <c r="L25" s="12" t="n">
        <f aca="false">SUM(L20:L24)</f>
        <v>298744460</v>
      </c>
      <c r="M25" s="12" t="n">
        <f aca="false">SUM(M20:M24)</f>
        <v>298323014</v>
      </c>
    </row>
    <row r="27" customFormat="false" ht="19.5" hidden="false" customHeight="true" outlineLevel="0" collapsed="false">
      <c r="A27" s="8" t="s">
        <v>23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customFormat="false" ht="24" hidden="false" customHeight="true" outlineLevel="0" collapsed="false">
      <c r="A28" s="15" t="s">
        <v>24</v>
      </c>
      <c r="B28" s="16" t="n">
        <f aca="false">B17-B25</f>
        <v>0</v>
      </c>
      <c r="C28" s="16" t="n">
        <f aca="false">C17-C25</f>
        <v>0</v>
      </c>
      <c r="D28" s="16" t="n">
        <f aca="false">D17-D25</f>
        <v>0</v>
      </c>
      <c r="E28" s="16" t="n">
        <f aca="false">E17-E25</f>
        <v>0</v>
      </c>
      <c r="F28" s="16" t="n">
        <f aca="false">F17-F25</f>
        <v>0</v>
      </c>
      <c r="G28" s="16" t="n">
        <f aca="false">G17-G25</f>
        <v>0</v>
      </c>
      <c r="H28" s="16" t="n">
        <f aca="false">H17-H25</f>
        <v>0</v>
      </c>
      <c r="I28" s="16" t="n">
        <f aca="false">I17-I25</f>
        <v>0</v>
      </c>
      <c r="J28" s="16" t="n">
        <f aca="false">J17-J25</f>
        <v>-299582948</v>
      </c>
      <c r="K28" s="16" t="n">
        <f aca="false">K17-K25</f>
        <v>-299164436</v>
      </c>
      <c r="L28" s="16" t="n">
        <f aca="false">L17-L25</f>
        <v>-298744460</v>
      </c>
      <c r="M28" s="16" t="n">
        <f aca="false">M17-M25</f>
        <v>-298323014</v>
      </c>
    </row>
    <row r="29" customFormat="false" ht="15" hidden="false" customHeight="false" outlineLevel="0" collapsed="false">
      <c r="A29" s="17" t="s">
        <v>25</v>
      </c>
      <c r="B29" s="18" t="s">
        <v>26</v>
      </c>
      <c r="C29" s="14" t="n">
        <f aca="false">C28-B28</f>
        <v>0</v>
      </c>
      <c r="D29" s="14" t="n">
        <f aca="false">D28-C28</f>
        <v>0</v>
      </c>
      <c r="E29" s="14" t="n">
        <f aca="false">E28-D28</f>
        <v>0</v>
      </c>
      <c r="F29" s="14" t="n">
        <f aca="false">F28-E28</f>
        <v>0</v>
      </c>
      <c r="G29" s="14" t="n">
        <f aca="false">G28-F28</f>
        <v>0</v>
      </c>
      <c r="H29" s="14" t="n">
        <f aca="false">H28-G28</f>
        <v>0</v>
      </c>
      <c r="I29" s="14" t="n">
        <f aca="false">I28-H28</f>
        <v>0</v>
      </c>
      <c r="J29" s="14" t="n">
        <f aca="false">J28-I28</f>
        <v>-299582948</v>
      </c>
      <c r="K29" s="14" t="n">
        <f aca="false">K28-J28</f>
        <v>418512</v>
      </c>
      <c r="L29" s="14" t="n">
        <f aca="false">L28-K28</f>
        <v>419976</v>
      </c>
      <c r="M29" s="14" t="n">
        <f aca="false">M28-L28</f>
        <v>421446</v>
      </c>
    </row>
    <row r="31" customFormat="false" ht="15" hidden="false" customHeight="false" outlineLevel="0" collapsed="false">
      <c r="A31" s="19" t="s">
        <v>27</v>
      </c>
    </row>
    <row r="32" customFormat="false" ht="15" hidden="false" customHeight="false" outlineLevel="0" collapsed="false">
      <c r="A32" s="19" t="s">
        <v>28</v>
      </c>
    </row>
    <row r="33" customFormat="false" ht="15" hidden="false" customHeight="false" outlineLevel="0" collapsed="false">
      <c r="A33" s="19" t="s">
        <v>29</v>
      </c>
    </row>
    <row r="34" customFormat="false" ht="15" hidden="false" customHeight="false" outlineLevel="0" collapsed="false">
      <c r="A34" s="19" t="s">
        <v>30</v>
      </c>
    </row>
  </sheetData>
  <mergeCells count="5">
    <mergeCell ref="A1:M1"/>
    <mergeCell ref="A2:M2"/>
    <mergeCell ref="A7:M7"/>
    <mergeCell ref="A19:M19"/>
    <mergeCell ref="A27:M27"/>
  </mergeCells>
  <conditionalFormatting sqref="C29:M29">
    <cfRule type="cellIs" priority="2" operator="lessThan" aboveAverage="0" equalAverage="0" bottom="0" percent="0" rank="0" text="" dxfId="0">
      <formula>0</formula>
    </cfRule>
  </conditionalFormatting>
  <conditionalFormatting sqref="B28:M28">
    <cfRule type="cellIs" priority="3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55A11"/>
    <pageSetUpPr fitToPage="false"/>
  </sheetPr>
  <dimension ref="A1:K3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2"/>
    <col collapsed="false" customWidth="true" hidden="false" outlineLevel="0" max="3" min="3" style="0" width="15"/>
    <col collapsed="false" customWidth="true" hidden="false" outlineLevel="0" max="4" min="4" style="0" width="14"/>
    <col collapsed="false" customWidth="true" hidden="false" outlineLevel="0" max="6" min="5" style="0" width="15"/>
    <col collapsed="false" customWidth="true" hidden="false" outlineLevel="0" max="7" min="7" style="0" width="16"/>
    <col collapsed="false" customWidth="true" hidden="true" outlineLevel="0" max="8" min="8" style="0" width="11"/>
    <col collapsed="false" customWidth="true" hidden="true" outlineLevel="0" max="11" min="9" style="0" width="13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9.5" hidden="false" customHeight="true" outlineLevel="0" collapsed="false">
      <c r="A2" s="2" t="s">
        <v>31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32</v>
      </c>
      <c r="B4" s="20" t="n">
        <v>300000000</v>
      </c>
      <c r="C4" s="5" t="s">
        <v>33</v>
      </c>
    </row>
    <row r="5" customFormat="false" ht="15" hidden="false" customHeight="false" outlineLevel="0" collapsed="false">
      <c r="A5" s="3" t="s">
        <v>34</v>
      </c>
      <c r="B5" s="21" t="n">
        <v>0.042</v>
      </c>
    </row>
    <row r="6" customFormat="false" ht="17.15" hidden="false" customHeight="false" outlineLevel="0" collapsed="false">
      <c r="A6" s="3" t="s">
        <v>35</v>
      </c>
      <c r="B6" s="22" t="n">
        <v>360</v>
      </c>
    </row>
    <row r="7" customFormat="false" ht="15" hidden="false" customHeight="false" outlineLevel="0" collapsed="false">
      <c r="A7" s="3" t="s">
        <v>36</v>
      </c>
      <c r="B7" s="23" t="s">
        <v>37</v>
      </c>
      <c r="C7" s="5" t="s">
        <v>38</v>
      </c>
    </row>
    <row r="8" customFormat="false" ht="15" hidden="false" customHeight="false" outlineLevel="0" collapsed="false">
      <c r="A8" s="3" t="s">
        <v>39</v>
      </c>
      <c r="B8" s="24" t="n">
        <v>46266</v>
      </c>
    </row>
    <row r="10" customFormat="false" ht="15" hidden="false" customHeight="false" outlineLevel="0" collapsed="false">
      <c r="A10" s="17" t="s">
        <v>40</v>
      </c>
      <c r="B10" s="25" t="n">
        <f aca="false">$B$5/12</f>
        <v>0.0035</v>
      </c>
    </row>
    <row r="11" customFormat="false" ht="15" hidden="false" customHeight="false" outlineLevel="0" collapsed="false">
      <c r="A11" s="26" t="s">
        <v>41</v>
      </c>
      <c r="B11" s="27" t="n">
        <f aca="false">IF($B$7="원리금균등",IFERROR(-PMT($B$10,$B$6,$B$4),0),IF($B$7="원금균등","회차마다 다름","이자만 → 끝에 원금"))</f>
        <v>1467051.52114058</v>
      </c>
    </row>
    <row r="13" customFormat="false" ht="19.5" hidden="false" customHeight="true" outlineLevel="0" collapsed="false">
      <c r="A13" s="8" t="s">
        <v>42</v>
      </c>
      <c r="B13" s="8"/>
      <c r="C13" s="8"/>
      <c r="D13" s="8"/>
      <c r="E13" s="8"/>
      <c r="F13" s="8"/>
      <c r="G13" s="8"/>
      <c r="H13" s="8"/>
    </row>
    <row r="14" customFormat="false" ht="15" hidden="false" customHeight="false" outlineLevel="0" collapsed="false">
      <c r="A14" s="17" t="s">
        <v>43</v>
      </c>
      <c r="B14" s="27" t="n">
        <f aca="false">SUM($J$22:$J$381)</f>
        <v>228138372</v>
      </c>
    </row>
    <row r="15" customFormat="false" ht="15" hidden="false" customHeight="false" outlineLevel="0" collapsed="false">
      <c r="A15" s="17" t="s">
        <v>44</v>
      </c>
      <c r="B15" s="27" t="n">
        <f aca="false">SUM($D$22:$D$381)</f>
        <v>228138372</v>
      </c>
    </row>
    <row r="16" customFormat="false" ht="15" hidden="false" customHeight="false" outlineLevel="0" collapsed="false">
      <c r="A16" s="26" t="s">
        <v>45</v>
      </c>
      <c r="B16" s="28" t="n">
        <f aca="false">IF(SUM($F$22:$F$381)=0,0,MAX(0,$B$14-$B$15))</f>
        <v>0</v>
      </c>
      <c r="C16" s="29" t="s">
        <v>46</v>
      </c>
    </row>
    <row r="17" customFormat="false" ht="15" hidden="false" customHeight="false" outlineLevel="0" collapsed="false">
      <c r="A17" s="17" t="s">
        <v>47</v>
      </c>
      <c r="B17" s="30" t="n">
        <f aca="false">COUNTIF($E$22:$E$381,"&gt;0")</f>
        <v>360</v>
      </c>
    </row>
    <row r="18" customFormat="false" ht="15" hidden="false" customHeight="false" outlineLevel="0" collapsed="false">
      <c r="A18" s="26" t="s">
        <v>48</v>
      </c>
      <c r="B18" s="31" t="n">
        <f aca="false">IF(SUM($F$22:$F$381)=0,0,MAX(0,$B$6-$B$17))</f>
        <v>0</v>
      </c>
    </row>
    <row r="19" customFormat="false" ht="15" hidden="false" customHeight="false" outlineLevel="0" collapsed="false">
      <c r="A19" s="17" t="s">
        <v>49</v>
      </c>
      <c r="B19" s="27" t="n">
        <f aca="false">$B$4+$B$15</f>
        <v>528138372</v>
      </c>
    </row>
    <row r="21" customFormat="false" ht="24" hidden="false" customHeight="true" outlineLevel="0" collapsed="false">
      <c r="A21" s="6" t="s">
        <v>50</v>
      </c>
      <c r="B21" s="6" t="s">
        <v>51</v>
      </c>
      <c r="C21" s="6" t="s">
        <v>52</v>
      </c>
      <c r="D21" s="6" t="s">
        <v>53</v>
      </c>
      <c r="E21" s="6" t="s">
        <v>54</v>
      </c>
      <c r="F21" s="6" t="s">
        <v>55</v>
      </c>
      <c r="G21" s="6" t="s">
        <v>56</v>
      </c>
      <c r="H21" s="6" t="s">
        <v>57</v>
      </c>
      <c r="I21" s="6" t="s">
        <v>58</v>
      </c>
      <c r="J21" s="6" t="s">
        <v>59</v>
      </c>
      <c r="K21" s="6" t="s">
        <v>60</v>
      </c>
    </row>
    <row r="22" customFormat="false" ht="15" hidden="false" customHeight="false" outlineLevel="0" collapsed="false">
      <c r="A22" s="32" t="n">
        <f aca="false">IF(1&gt;$B$6,"",1)</f>
        <v>1</v>
      </c>
      <c r="B22" s="33" t="n">
        <f aca="false">IF($A22="","",EDATE($B$8,1-1))</f>
        <v>46266</v>
      </c>
      <c r="C22" s="34" t="n">
        <f aca="false">IF($B$7="원리금균등",MAX(0,MIN($B$4,ROUND($B$11,0)-$D22)),IF($B$7="원금균등",MIN($B$4,ROUND($B$4/$B$6,0)),IF(1=$B$6,$B$4,0)))</f>
        <v>417052</v>
      </c>
      <c r="D22" s="34" t="n">
        <f aca="false">ROUND($B$4*$B$10,0)</f>
        <v>1050000</v>
      </c>
      <c r="E22" s="34" t="n">
        <f aca="false">IF($A22="",0,$C22+$D22)</f>
        <v>1467052</v>
      </c>
      <c r="F22" s="35"/>
      <c r="G22" s="34" t="n">
        <f aca="false">MAX(0,$B$4-$C22-$F22)</f>
        <v>299582948</v>
      </c>
      <c r="H22" s="32" t="str">
        <f aca="false">IF($B22="","",TEXT($B22,"yyyy-mm"))</f>
        <v>2026-09</v>
      </c>
      <c r="I22" s="36" t="n">
        <f aca="false">IF($B$7="원리금균등",MAX(0,MIN($B$4,ROUND($B$11,0)-$J22)),IF($B$7="원금균등",MIN($B$4,ROUND($B$4/$B$6,0)),IF(1=$B$6,$B$4,0)))</f>
        <v>417052</v>
      </c>
      <c r="J22" s="36" t="n">
        <f aca="false">ROUND($B$4*$B$10,0)</f>
        <v>1050000</v>
      </c>
      <c r="K22" s="36" t="n">
        <f aca="false">MAX(0,$B$4-$I22)</f>
        <v>299582948</v>
      </c>
    </row>
    <row r="23" customFormat="false" ht="15" hidden="false" customHeight="false" outlineLevel="0" collapsed="false">
      <c r="A23" s="32" t="n">
        <f aca="false">IF(2&gt;$B$6,"",2)</f>
        <v>2</v>
      </c>
      <c r="B23" s="33" t="n">
        <f aca="false">IF($A23="","",EDATE($B$8,2-1))</f>
        <v>46296</v>
      </c>
      <c r="C23" s="34" t="n">
        <f aca="false">IF($B$7="원리금균등",MAX(0,MIN($G$22,ROUND($B$11,0)-$D23)),IF($B$7="원금균등",MIN($G$22,ROUND($B$4/$B$6,0)),IF(2=$B$6,$G$22,0)))</f>
        <v>418512</v>
      </c>
      <c r="D23" s="34" t="n">
        <f aca="false">ROUND($G$22*$B$10,0)</f>
        <v>1048540</v>
      </c>
      <c r="E23" s="34" t="n">
        <f aca="false">IF($A23="",0,$C23+$D23)</f>
        <v>1467052</v>
      </c>
      <c r="F23" s="35"/>
      <c r="G23" s="34" t="n">
        <f aca="false">MAX(0,$G$22-$C23-$F23)</f>
        <v>299164436</v>
      </c>
      <c r="H23" s="32" t="str">
        <f aca="false">IF($B23="","",TEXT($B23,"yyyy-mm"))</f>
        <v>2026-10</v>
      </c>
      <c r="I23" s="36" t="n">
        <f aca="false">IF($B$7="원리금균등",MAX(0,MIN($K$22,ROUND($B$11,0)-$J23)),IF($B$7="원금균등",MIN($K$22,ROUND($B$4/$B$6,0)),IF(2=$B$6,$K$22,0)))</f>
        <v>418512</v>
      </c>
      <c r="J23" s="36" t="n">
        <f aca="false">ROUND($K$22*$B$10,0)</f>
        <v>1048540</v>
      </c>
      <c r="K23" s="36" t="n">
        <f aca="false">MAX(0,$K$22-$I23)</f>
        <v>299164436</v>
      </c>
    </row>
    <row r="24" customFormat="false" ht="15" hidden="false" customHeight="false" outlineLevel="0" collapsed="false">
      <c r="A24" s="32" t="n">
        <f aca="false">IF(3&gt;$B$6,"",3)</f>
        <v>3</v>
      </c>
      <c r="B24" s="33" t="n">
        <f aca="false">IF($A24="","",EDATE($B$8,3-1))</f>
        <v>46327</v>
      </c>
      <c r="C24" s="34" t="n">
        <f aca="false">IF($B$7="원리금균등",MAX(0,MIN($G$23,ROUND($B$11,0)-$D24)),IF($B$7="원금균등",MIN($G$23,ROUND($B$4/$B$6,0)),IF(3=$B$6,$G$23,0)))</f>
        <v>419976</v>
      </c>
      <c r="D24" s="34" t="n">
        <f aca="false">ROUND($G$23*$B$10,0)</f>
        <v>1047076</v>
      </c>
      <c r="E24" s="34" t="n">
        <f aca="false">IF($A24="",0,$C24+$D24)</f>
        <v>1467052</v>
      </c>
      <c r="F24" s="35"/>
      <c r="G24" s="34" t="n">
        <f aca="false">MAX(0,$G$23-$C24-$F24)</f>
        <v>298744460</v>
      </c>
      <c r="H24" s="32" t="str">
        <f aca="false">IF($B24="","",TEXT($B24,"yyyy-mm"))</f>
        <v>2026-11</v>
      </c>
      <c r="I24" s="36" t="n">
        <f aca="false">IF($B$7="원리금균등",MAX(0,MIN($K$23,ROUND($B$11,0)-$J24)),IF($B$7="원금균등",MIN($K$23,ROUND($B$4/$B$6,0)),IF(3=$B$6,$K$23,0)))</f>
        <v>419976</v>
      </c>
      <c r="J24" s="36" t="n">
        <f aca="false">ROUND($K$23*$B$10,0)</f>
        <v>1047076</v>
      </c>
      <c r="K24" s="36" t="n">
        <f aca="false">MAX(0,$K$23-$I24)</f>
        <v>298744460</v>
      </c>
    </row>
    <row r="25" customFormat="false" ht="15" hidden="false" customHeight="false" outlineLevel="0" collapsed="false">
      <c r="A25" s="32" t="n">
        <f aca="false">IF(4&gt;$B$6,"",4)</f>
        <v>4</v>
      </c>
      <c r="B25" s="33" t="n">
        <f aca="false">IF($A25="","",EDATE($B$8,4-1))</f>
        <v>46357</v>
      </c>
      <c r="C25" s="34" t="n">
        <f aca="false">IF($B$7="원리금균등",MAX(0,MIN($G$24,ROUND($B$11,0)-$D25)),IF($B$7="원금균등",MIN($G$24,ROUND($B$4/$B$6,0)),IF(4=$B$6,$G$24,0)))</f>
        <v>421446</v>
      </c>
      <c r="D25" s="34" t="n">
        <f aca="false">ROUND($G$24*$B$10,0)</f>
        <v>1045606</v>
      </c>
      <c r="E25" s="34" t="n">
        <f aca="false">IF($A25="",0,$C25+$D25)</f>
        <v>1467052</v>
      </c>
      <c r="F25" s="35"/>
      <c r="G25" s="34" t="n">
        <f aca="false">MAX(0,$G$24-$C25-$F25)</f>
        <v>298323014</v>
      </c>
      <c r="H25" s="32" t="str">
        <f aca="false">IF($B25="","",TEXT($B25,"yyyy-mm"))</f>
        <v>2026-12</v>
      </c>
      <c r="I25" s="36" t="n">
        <f aca="false">IF($B$7="원리금균등",MAX(0,MIN($K$24,ROUND($B$11,0)-$J25)),IF($B$7="원금균등",MIN($K$24,ROUND($B$4/$B$6,0)),IF(4=$B$6,$K$24,0)))</f>
        <v>421446</v>
      </c>
      <c r="J25" s="36" t="n">
        <f aca="false">ROUND($K$24*$B$10,0)</f>
        <v>1045606</v>
      </c>
      <c r="K25" s="36" t="n">
        <f aca="false">MAX(0,$K$24-$I25)</f>
        <v>298323014</v>
      </c>
    </row>
    <row r="26" customFormat="false" ht="15" hidden="false" customHeight="false" outlineLevel="0" collapsed="false">
      <c r="A26" s="32" t="n">
        <f aca="false">IF(5&gt;$B$6,"",5)</f>
        <v>5</v>
      </c>
      <c r="B26" s="33" t="n">
        <f aca="false">IF($A26="","",EDATE($B$8,5-1))</f>
        <v>46388</v>
      </c>
      <c r="C26" s="34" t="n">
        <f aca="false">IF($B$7="원리금균등",MAX(0,MIN($G$25,ROUND($B$11,0)-$D26)),IF($B$7="원금균등",MIN($G$25,ROUND($B$4/$B$6,0)),IF(5=$B$6,$G$25,0)))</f>
        <v>422921</v>
      </c>
      <c r="D26" s="34" t="n">
        <f aca="false">ROUND($G$25*$B$10,0)</f>
        <v>1044131</v>
      </c>
      <c r="E26" s="34" t="n">
        <f aca="false">IF($A26="",0,$C26+$D26)</f>
        <v>1467052</v>
      </c>
      <c r="F26" s="35"/>
      <c r="G26" s="34" t="n">
        <f aca="false">MAX(0,$G$25-$C26-$F26)</f>
        <v>297900093</v>
      </c>
      <c r="H26" s="32" t="str">
        <f aca="false">IF($B26="","",TEXT($B26,"yyyy-mm"))</f>
        <v>2027-01</v>
      </c>
      <c r="I26" s="36" t="n">
        <f aca="false">IF($B$7="원리금균등",MAX(0,MIN($K$25,ROUND($B$11,0)-$J26)),IF($B$7="원금균등",MIN($K$25,ROUND($B$4/$B$6,0)),IF(5=$B$6,$K$25,0)))</f>
        <v>422921</v>
      </c>
      <c r="J26" s="36" t="n">
        <f aca="false">ROUND($K$25*$B$10,0)</f>
        <v>1044131</v>
      </c>
      <c r="K26" s="36" t="n">
        <f aca="false">MAX(0,$K$25-$I26)</f>
        <v>297900093</v>
      </c>
    </row>
    <row r="27" customFormat="false" ht="15" hidden="false" customHeight="false" outlineLevel="0" collapsed="false">
      <c r="A27" s="32" t="n">
        <f aca="false">IF(6&gt;$B$6,"",6)</f>
        <v>6</v>
      </c>
      <c r="B27" s="33" t="n">
        <f aca="false">IF($A27="","",EDATE($B$8,6-1))</f>
        <v>46419</v>
      </c>
      <c r="C27" s="34" t="n">
        <f aca="false">IF($B$7="원리금균등",MAX(0,MIN($G$26,ROUND($B$11,0)-$D27)),IF($B$7="원금균등",MIN($G$26,ROUND($B$4/$B$6,0)),IF(6=$B$6,$G$26,0)))</f>
        <v>424402</v>
      </c>
      <c r="D27" s="34" t="n">
        <f aca="false">ROUND($G$26*$B$10,0)</f>
        <v>1042650</v>
      </c>
      <c r="E27" s="34" t="n">
        <f aca="false">IF($A27="",0,$C27+$D27)</f>
        <v>1467052</v>
      </c>
      <c r="F27" s="35"/>
      <c r="G27" s="34" t="n">
        <f aca="false">MAX(0,$G$26-$C27-$F27)</f>
        <v>297475691</v>
      </c>
      <c r="H27" s="32" t="str">
        <f aca="false">IF($B27="","",TEXT($B27,"yyyy-mm"))</f>
        <v>2027-02</v>
      </c>
      <c r="I27" s="36" t="n">
        <f aca="false">IF($B$7="원리금균등",MAX(0,MIN($K$26,ROUND($B$11,0)-$J27)),IF($B$7="원금균등",MIN($K$26,ROUND($B$4/$B$6,0)),IF(6=$B$6,$K$26,0)))</f>
        <v>424402</v>
      </c>
      <c r="J27" s="36" t="n">
        <f aca="false">ROUND($K$26*$B$10,0)</f>
        <v>1042650</v>
      </c>
      <c r="K27" s="36" t="n">
        <f aca="false">MAX(0,$K$26-$I27)</f>
        <v>297475691</v>
      </c>
    </row>
    <row r="28" customFormat="false" ht="15" hidden="false" customHeight="false" outlineLevel="0" collapsed="false">
      <c r="A28" s="32" t="n">
        <f aca="false">IF(7&gt;$B$6,"",7)</f>
        <v>7</v>
      </c>
      <c r="B28" s="33" t="n">
        <f aca="false">IF($A28="","",EDATE($B$8,7-1))</f>
        <v>46447</v>
      </c>
      <c r="C28" s="34" t="n">
        <f aca="false">IF($B$7="원리금균등",MAX(0,MIN($G$27,ROUND($B$11,0)-$D28)),IF($B$7="원금균등",MIN($G$27,ROUND($B$4/$B$6,0)),IF(7=$B$6,$G$27,0)))</f>
        <v>425887</v>
      </c>
      <c r="D28" s="34" t="n">
        <f aca="false">ROUND($G$27*$B$10,0)</f>
        <v>1041165</v>
      </c>
      <c r="E28" s="34" t="n">
        <f aca="false">IF($A28="",0,$C28+$D28)</f>
        <v>1467052</v>
      </c>
      <c r="F28" s="35"/>
      <c r="G28" s="34" t="n">
        <f aca="false">MAX(0,$G$27-$C28-$F28)</f>
        <v>297049804</v>
      </c>
      <c r="H28" s="32" t="str">
        <f aca="false">IF($B28="","",TEXT($B28,"yyyy-mm"))</f>
        <v>2027-03</v>
      </c>
      <c r="I28" s="36" t="n">
        <f aca="false">IF($B$7="원리금균등",MAX(0,MIN($K$27,ROUND($B$11,0)-$J28)),IF($B$7="원금균등",MIN($K$27,ROUND($B$4/$B$6,0)),IF(7=$B$6,$K$27,0)))</f>
        <v>425887</v>
      </c>
      <c r="J28" s="36" t="n">
        <f aca="false">ROUND($K$27*$B$10,0)</f>
        <v>1041165</v>
      </c>
      <c r="K28" s="36" t="n">
        <f aca="false">MAX(0,$K$27-$I28)</f>
        <v>297049804</v>
      </c>
    </row>
    <row r="29" customFormat="false" ht="15" hidden="false" customHeight="false" outlineLevel="0" collapsed="false">
      <c r="A29" s="32" t="n">
        <f aca="false">IF(8&gt;$B$6,"",8)</f>
        <v>8</v>
      </c>
      <c r="B29" s="33" t="n">
        <f aca="false">IF($A29="","",EDATE($B$8,8-1))</f>
        <v>46478</v>
      </c>
      <c r="C29" s="34" t="n">
        <f aca="false">IF($B$7="원리금균등",MAX(0,MIN($G$28,ROUND($B$11,0)-$D29)),IF($B$7="원금균등",MIN($G$28,ROUND($B$4/$B$6,0)),IF(8=$B$6,$G$28,0)))</f>
        <v>427378</v>
      </c>
      <c r="D29" s="34" t="n">
        <f aca="false">ROUND($G$28*$B$10,0)</f>
        <v>1039674</v>
      </c>
      <c r="E29" s="34" t="n">
        <f aca="false">IF($A29="",0,$C29+$D29)</f>
        <v>1467052</v>
      </c>
      <c r="F29" s="35"/>
      <c r="G29" s="34" t="n">
        <f aca="false">MAX(0,$G$28-$C29-$F29)</f>
        <v>296622426</v>
      </c>
      <c r="H29" s="32" t="str">
        <f aca="false">IF($B29="","",TEXT($B29,"yyyy-mm"))</f>
        <v>2027-04</v>
      </c>
      <c r="I29" s="36" t="n">
        <f aca="false">IF($B$7="원리금균등",MAX(0,MIN($K$28,ROUND($B$11,0)-$J29)),IF($B$7="원금균등",MIN($K$28,ROUND($B$4/$B$6,0)),IF(8=$B$6,$K$28,0)))</f>
        <v>427378</v>
      </c>
      <c r="J29" s="36" t="n">
        <f aca="false">ROUND($K$28*$B$10,0)</f>
        <v>1039674</v>
      </c>
      <c r="K29" s="36" t="n">
        <f aca="false">MAX(0,$K$28-$I29)</f>
        <v>296622426</v>
      </c>
    </row>
    <row r="30" customFormat="false" ht="15" hidden="false" customHeight="false" outlineLevel="0" collapsed="false">
      <c r="A30" s="32" t="n">
        <f aca="false">IF(9&gt;$B$6,"",9)</f>
        <v>9</v>
      </c>
      <c r="B30" s="33" t="n">
        <f aca="false">IF($A30="","",EDATE($B$8,9-1))</f>
        <v>46508</v>
      </c>
      <c r="C30" s="34" t="n">
        <f aca="false">IF($B$7="원리금균등",MAX(0,MIN($G$29,ROUND($B$11,0)-$D30)),IF($B$7="원금균등",MIN($G$29,ROUND($B$4/$B$6,0)),IF(9=$B$6,$G$29,0)))</f>
        <v>428874</v>
      </c>
      <c r="D30" s="34" t="n">
        <f aca="false">ROUND($G$29*$B$10,0)</f>
        <v>1038178</v>
      </c>
      <c r="E30" s="34" t="n">
        <f aca="false">IF($A30="",0,$C30+$D30)</f>
        <v>1467052</v>
      </c>
      <c r="F30" s="35"/>
      <c r="G30" s="34" t="n">
        <f aca="false">MAX(0,$G$29-$C30-$F30)</f>
        <v>296193552</v>
      </c>
      <c r="H30" s="32" t="str">
        <f aca="false">IF($B30="","",TEXT($B30,"yyyy-mm"))</f>
        <v>2027-05</v>
      </c>
      <c r="I30" s="36" t="n">
        <f aca="false">IF($B$7="원리금균등",MAX(0,MIN($K$29,ROUND($B$11,0)-$J30)),IF($B$7="원금균등",MIN($K$29,ROUND($B$4/$B$6,0)),IF(9=$B$6,$K$29,0)))</f>
        <v>428874</v>
      </c>
      <c r="J30" s="36" t="n">
        <f aca="false">ROUND($K$29*$B$10,0)</f>
        <v>1038178</v>
      </c>
      <c r="K30" s="36" t="n">
        <f aca="false">MAX(0,$K$29-$I30)</f>
        <v>296193552</v>
      </c>
    </row>
    <row r="31" customFormat="false" ht="15" hidden="false" customHeight="false" outlineLevel="0" collapsed="false">
      <c r="A31" s="32" t="n">
        <f aca="false">IF(10&gt;$B$6,"",10)</f>
        <v>10</v>
      </c>
      <c r="B31" s="33" t="n">
        <f aca="false">IF($A31="","",EDATE($B$8,10-1))</f>
        <v>46539</v>
      </c>
      <c r="C31" s="34" t="n">
        <f aca="false">IF($B$7="원리금균등",MAX(0,MIN($G$30,ROUND($B$11,0)-$D31)),IF($B$7="원금균등",MIN($G$30,ROUND($B$4/$B$6,0)),IF(10=$B$6,$G$30,0)))</f>
        <v>430375</v>
      </c>
      <c r="D31" s="34" t="n">
        <f aca="false">ROUND($G$30*$B$10,0)</f>
        <v>1036677</v>
      </c>
      <c r="E31" s="34" t="n">
        <f aca="false">IF($A31="",0,$C31+$D31)</f>
        <v>1467052</v>
      </c>
      <c r="F31" s="35"/>
      <c r="G31" s="34" t="n">
        <f aca="false">MAX(0,$G$30-$C31-$F31)</f>
        <v>295763177</v>
      </c>
      <c r="H31" s="32" t="str">
        <f aca="false">IF($B31="","",TEXT($B31,"yyyy-mm"))</f>
        <v>2027-06</v>
      </c>
      <c r="I31" s="36" t="n">
        <f aca="false">IF($B$7="원리금균등",MAX(0,MIN($K$30,ROUND($B$11,0)-$J31)),IF($B$7="원금균등",MIN($K$30,ROUND($B$4/$B$6,0)),IF(10=$B$6,$K$30,0)))</f>
        <v>430375</v>
      </c>
      <c r="J31" s="36" t="n">
        <f aca="false">ROUND($K$30*$B$10,0)</f>
        <v>1036677</v>
      </c>
      <c r="K31" s="36" t="n">
        <f aca="false">MAX(0,$K$30-$I31)</f>
        <v>295763177</v>
      </c>
    </row>
    <row r="32" customFormat="false" ht="15" hidden="false" customHeight="false" outlineLevel="0" collapsed="false">
      <c r="A32" s="32" t="n">
        <f aca="false">IF(11&gt;$B$6,"",11)</f>
        <v>11</v>
      </c>
      <c r="B32" s="33" t="n">
        <f aca="false">IF($A32="","",EDATE($B$8,11-1))</f>
        <v>46569</v>
      </c>
      <c r="C32" s="34" t="n">
        <f aca="false">IF($B$7="원리금균등",MAX(0,MIN($G$31,ROUND($B$11,0)-$D32)),IF($B$7="원금균등",MIN($G$31,ROUND($B$4/$B$6,0)),IF(11=$B$6,$G$31,0)))</f>
        <v>431881</v>
      </c>
      <c r="D32" s="34" t="n">
        <f aca="false">ROUND($G$31*$B$10,0)</f>
        <v>1035171</v>
      </c>
      <c r="E32" s="34" t="n">
        <f aca="false">IF($A32="",0,$C32+$D32)</f>
        <v>1467052</v>
      </c>
      <c r="F32" s="35"/>
      <c r="G32" s="34" t="n">
        <f aca="false">MAX(0,$G$31-$C32-$F32)</f>
        <v>295331296</v>
      </c>
      <c r="H32" s="32" t="str">
        <f aca="false">IF($B32="","",TEXT($B32,"yyyy-mm"))</f>
        <v>2027-07</v>
      </c>
      <c r="I32" s="36" t="n">
        <f aca="false">IF($B$7="원리금균등",MAX(0,MIN($K$31,ROUND($B$11,0)-$J32)),IF($B$7="원금균등",MIN($K$31,ROUND($B$4/$B$6,0)),IF(11=$B$6,$K$31,0)))</f>
        <v>431881</v>
      </c>
      <c r="J32" s="36" t="n">
        <f aca="false">ROUND($K$31*$B$10,0)</f>
        <v>1035171</v>
      </c>
      <c r="K32" s="36" t="n">
        <f aca="false">MAX(0,$K$31-$I32)</f>
        <v>295331296</v>
      </c>
    </row>
    <row r="33" customFormat="false" ht="15" hidden="false" customHeight="false" outlineLevel="0" collapsed="false">
      <c r="A33" s="32" t="n">
        <f aca="false">IF(12&gt;$B$6,"",12)</f>
        <v>12</v>
      </c>
      <c r="B33" s="33" t="n">
        <f aca="false">IF($A33="","",EDATE($B$8,12-1))</f>
        <v>46600</v>
      </c>
      <c r="C33" s="34" t="n">
        <f aca="false">IF($B$7="원리금균등",MAX(0,MIN($G$32,ROUND($B$11,0)-$D33)),IF($B$7="원금균등",MIN($G$32,ROUND($B$4/$B$6,0)),IF(12=$B$6,$G$32,0)))</f>
        <v>433392</v>
      </c>
      <c r="D33" s="34" t="n">
        <f aca="false">ROUND($G$32*$B$10,0)</f>
        <v>1033660</v>
      </c>
      <c r="E33" s="34" t="n">
        <f aca="false">IF($A33="",0,$C33+$D33)</f>
        <v>1467052</v>
      </c>
      <c r="F33" s="35"/>
      <c r="G33" s="34" t="n">
        <f aca="false">MAX(0,$G$32-$C33-$F33)</f>
        <v>294897904</v>
      </c>
      <c r="H33" s="32" t="str">
        <f aca="false">IF($B33="","",TEXT($B33,"yyyy-mm"))</f>
        <v>2027-08</v>
      </c>
      <c r="I33" s="36" t="n">
        <f aca="false">IF($B$7="원리금균등",MAX(0,MIN($K$32,ROUND($B$11,0)-$J33)),IF($B$7="원금균등",MIN($K$32,ROUND($B$4/$B$6,0)),IF(12=$B$6,$K$32,0)))</f>
        <v>433392</v>
      </c>
      <c r="J33" s="36" t="n">
        <f aca="false">ROUND($K$32*$B$10,0)</f>
        <v>1033660</v>
      </c>
      <c r="K33" s="36" t="n">
        <f aca="false">MAX(0,$K$32-$I33)</f>
        <v>294897904</v>
      </c>
    </row>
    <row r="34" customFormat="false" ht="15" hidden="false" customHeight="false" outlineLevel="0" collapsed="false">
      <c r="A34" s="32" t="n">
        <f aca="false">IF(13&gt;$B$6,"",13)</f>
        <v>13</v>
      </c>
      <c r="B34" s="33" t="n">
        <f aca="false">IF($A34="","",EDATE($B$8,13-1))</f>
        <v>46631</v>
      </c>
      <c r="C34" s="34" t="n">
        <f aca="false">IF($B$7="원리금균등",MAX(0,MIN($G$33,ROUND($B$11,0)-$D34)),IF($B$7="원금균등",MIN($G$33,ROUND($B$4/$B$6,0)),IF(13=$B$6,$G$33,0)))</f>
        <v>434909</v>
      </c>
      <c r="D34" s="34" t="n">
        <f aca="false">ROUND($G$33*$B$10,0)</f>
        <v>1032143</v>
      </c>
      <c r="E34" s="34" t="n">
        <f aca="false">IF($A34="",0,$C34+$D34)</f>
        <v>1467052</v>
      </c>
      <c r="F34" s="35"/>
      <c r="G34" s="34" t="n">
        <f aca="false">MAX(0,$G$33-$C34-$F34)</f>
        <v>294462995</v>
      </c>
      <c r="H34" s="32" t="str">
        <f aca="false">IF($B34="","",TEXT($B34,"yyyy-mm"))</f>
        <v>2027-09</v>
      </c>
      <c r="I34" s="36" t="n">
        <f aca="false">IF($B$7="원리금균등",MAX(0,MIN($K$33,ROUND($B$11,0)-$J34)),IF($B$7="원금균등",MIN($K$33,ROUND($B$4/$B$6,0)),IF(13=$B$6,$K$33,0)))</f>
        <v>434909</v>
      </c>
      <c r="J34" s="36" t="n">
        <f aca="false">ROUND($K$33*$B$10,0)</f>
        <v>1032143</v>
      </c>
      <c r="K34" s="36" t="n">
        <f aca="false">MAX(0,$K$33-$I34)</f>
        <v>294462995</v>
      </c>
    </row>
    <row r="35" customFormat="false" ht="15" hidden="false" customHeight="false" outlineLevel="0" collapsed="false">
      <c r="A35" s="32" t="n">
        <f aca="false">IF(14&gt;$B$6,"",14)</f>
        <v>14</v>
      </c>
      <c r="B35" s="33" t="n">
        <f aca="false">IF($A35="","",EDATE($B$8,14-1))</f>
        <v>46661</v>
      </c>
      <c r="C35" s="34" t="n">
        <f aca="false">IF($B$7="원리금균등",MAX(0,MIN($G$34,ROUND($B$11,0)-$D35)),IF($B$7="원금균등",MIN($G$34,ROUND($B$4/$B$6,0)),IF(14=$B$6,$G$34,0)))</f>
        <v>436432</v>
      </c>
      <c r="D35" s="34" t="n">
        <f aca="false">ROUND($G$34*$B$10,0)</f>
        <v>1030620</v>
      </c>
      <c r="E35" s="34" t="n">
        <f aca="false">IF($A35="",0,$C35+$D35)</f>
        <v>1467052</v>
      </c>
      <c r="F35" s="35"/>
      <c r="G35" s="34" t="n">
        <f aca="false">MAX(0,$G$34-$C35-$F35)</f>
        <v>294026563</v>
      </c>
      <c r="H35" s="32" t="str">
        <f aca="false">IF($B35="","",TEXT($B35,"yyyy-mm"))</f>
        <v>2027-10</v>
      </c>
      <c r="I35" s="36" t="n">
        <f aca="false">IF($B$7="원리금균등",MAX(0,MIN($K$34,ROUND($B$11,0)-$J35)),IF($B$7="원금균등",MIN($K$34,ROUND($B$4/$B$6,0)),IF(14=$B$6,$K$34,0)))</f>
        <v>436432</v>
      </c>
      <c r="J35" s="36" t="n">
        <f aca="false">ROUND($K$34*$B$10,0)</f>
        <v>1030620</v>
      </c>
      <c r="K35" s="36" t="n">
        <f aca="false">MAX(0,$K$34-$I35)</f>
        <v>294026563</v>
      </c>
    </row>
    <row r="36" customFormat="false" ht="15" hidden="false" customHeight="false" outlineLevel="0" collapsed="false">
      <c r="A36" s="32" t="n">
        <f aca="false">IF(15&gt;$B$6,"",15)</f>
        <v>15</v>
      </c>
      <c r="B36" s="33" t="n">
        <f aca="false">IF($A36="","",EDATE($B$8,15-1))</f>
        <v>46692</v>
      </c>
      <c r="C36" s="34" t="n">
        <f aca="false">IF($B$7="원리금균등",MAX(0,MIN($G$35,ROUND($B$11,0)-$D36)),IF($B$7="원금균등",MIN($G$35,ROUND($B$4/$B$6,0)),IF(15=$B$6,$G$35,0)))</f>
        <v>437959</v>
      </c>
      <c r="D36" s="34" t="n">
        <f aca="false">ROUND($G$35*$B$10,0)</f>
        <v>1029093</v>
      </c>
      <c r="E36" s="34" t="n">
        <f aca="false">IF($A36="",0,$C36+$D36)</f>
        <v>1467052</v>
      </c>
      <c r="F36" s="35"/>
      <c r="G36" s="34" t="n">
        <f aca="false">MAX(0,$G$35-$C36-$F36)</f>
        <v>293588604</v>
      </c>
      <c r="H36" s="32" t="str">
        <f aca="false">IF($B36="","",TEXT($B36,"yyyy-mm"))</f>
        <v>2027-11</v>
      </c>
      <c r="I36" s="36" t="n">
        <f aca="false">IF($B$7="원리금균등",MAX(0,MIN($K$35,ROUND($B$11,0)-$J36)),IF($B$7="원금균등",MIN($K$35,ROUND($B$4/$B$6,0)),IF(15=$B$6,$K$35,0)))</f>
        <v>437959</v>
      </c>
      <c r="J36" s="36" t="n">
        <f aca="false">ROUND($K$35*$B$10,0)</f>
        <v>1029093</v>
      </c>
      <c r="K36" s="36" t="n">
        <f aca="false">MAX(0,$K$35-$I36)</f>
        <v>293588604</v>
      </c>
    </row>
    <row r="37" customFormat="false" ht="15" hidden="false" customHeight="false" outlineLevel="0" collapsed="false">
      <c r="A37" s="32" t="n">
        <f aca="false">IF(16&gt;$B$6,"",16)</f>
        <v>16</v>
      </c>
      <c r="B37" s="33" t="n">
        <f aca="false">IF($A37="","",EDATE($B$8,16-1))</f>
        <v>46722</v>
      </c>
      <c r="C37" s="34" t="n">
        <f aca="false">IF($B$7="원리금균등",MAX(0,MIN($G$36,ROUND($B$11,0)-$D37)),IF($B$7="원금균등",MIN($G$36,ROUND($B$4/$B$6,0)),IF(16=$B$6,$G$36,0)))</f>
        <v>439492</v>
      </c>
      <c r="D37" s="34" t="n">
        <f aca="false">ROUND($G$36*$B$10,0)</f>
        <v>1027560</v>
      </c>
      <c r="E37" s="34" t="n">
        <f aca="false">IF($A37="",0,$C37+$D37)</f>
        <v>1467052</v>
      </c>
      <c r="F37" s="35"/>
      <c r="G37" s="34" t="n">
        <f aca="false">MAX(0,$G$36-$C37-$F37)</f>
        <v>293149112</v>
      </c>
      <c r="H37" s="32" t="str">
        <f aca="false">IF($B37="","",TEXT($B37,"yyyy-mm"))</f>
        <v>2027-12</v>
      </c>
      <c r="I37" s="36" t="n">
        <f aca="false">IF($B$7="원리금균등",MAX(0,MIN($K$36,ROUND($B$11,0)-$J37)),IF($B$7="원금균등",MIN($K$36,ROUND($B$4/$B$6,0)),IF(16=$B$6,$K$36,0)))</f>
        <v>439492</v>
      </c>
      <c r="J37" s="36" t="n">
        <f aca="false">ROUND($K$36*$B$10,0)</f>
        <v>1027560</v>
      </c>
      <c r="K37" s="36" t="n">
        <f aca="false">MAX(0,$K$36-$I37)</f>
        <v>293149112</v>
      </c>
    </row>
    <row r="38" customFormat="false" ht="15" hidden="false" customHeight="false" outlineLevel="0" collapsed="false">
      <c r="A38" s="32" t="n">
        <f aca="false">IF(17&gt;$B$6,"",17)</f>
        <v>17</v>
      </c>
      <c r="B38" s="33" t="n">
        <f aca="false">IF($A38="","",EDATE($B$8,17-1))</f>
        <v>46753</v>
      </c>
      <c r="C38" s="34" t="n">
        <f aca="false">IF($B$7="원리금균등",MAX(0,MIN($G$37,ROUND($B$11,0)-$D38)),IF($B$7="원금균등",MIN($G$37,ROUND($B$4/$B$6,0)),IF(17=$B$6,$G$37,0)))</f>
        <v>441030</v>
      </c>
      <c r="D38" s="34" t="n">
        <f aca="false">ROUND($G$37*$B$10,0)</f>
        <v>1026022</v>
      </c>
      <c r="E38" s="34" t="n">
        <f aca="false">IF($A38="",0,$C38+$D38)</f>
        <v>1467052</v>
      </c>
      <c r="F38" s="35"/>
      <c r="G38" s="34" t="n">
        <f aca="false">MAX(0,$G$37-$C38-$F38)</f>
        <v>292708082</v>
      </c>
      <c r="H38" s="32" t="str">
        <f aca="false">IF($B38="","",TEXT($B38,"yyyy-mm"))</f>
        <v>2028-01</v>
      </c>
      <c r="I38" s="36" t="n">
        <f aca="false">IF($B$7="원리금균등",MAX(0,MIN($K$37,ROUND($B$11,0)-$J38)),IF($B$7="원금균등",MIN($K$37,ROUND($B$4/$B$6,0)),IF(17=$B$6,$K$37,0)))</f>
        <v>441030</v>
      </c>
      <c r="J38" s="36" t="n">
        <f aca="false">ROUND($K$37*$B$10,0)</f>
        <v>1026022</v>
      </c>
      <c r="K38" s="36" t="n">
        <f aca="false">MAX(0,$K$37-$I38)</f>
        <v>292708082</v>
      </c>
    </row>
    <row r="39" customFormat="false" ht="15" hidden="false" customHeight="false" outlineLevel="0" collapsed="false">
      <c r="A39" s="32" t="n">
        <f aca="false">IF(18&gt;$B$6,"",18)</f>
        <v>18</v>
      </c>
      <c r="B39" s="33" t="n">
        <f aca="false">IF($A39="","",EDATE($B$8,18-1))</f>
        <v>46784</v>
      </c>
      <c r="C39" s="34" t="n">
        <f aca="false">IF($B$7="원리금균등",MAX(0,MIN($G$38,ROUND($B$11,0)-$D39)),IF($B$7="원금균등",MIN($G$38,ROUND($B$4/$B$6,0)),IF(18=$B$6,$G$38,0)))</f>
        <v>442574</v>
      </c>
      <c r="D39" s="34" t="n">
        <f aca="false">ROUND($G$38*$B$10,0)</f>
        <v>1024478</v>
      </c>
      <c r="E39" s="34" t="n">
        <f aca="false">IF($A39="",0,$C39+$D39)</f>
        <v>1467052</v>
      </c>
      <c r="F39" s="35"/>
      <c r="G39" s="34" t="n">
        <f aca="false">MAX(0,$G$38-$C39-$F39)</f>
        <v>292265508</v>
      </c>
      <c r="H39" s="32" t="str">
        <f aca="false">IF($B39="","",TEXT($B39,"yyyy-mm"))</f>
        <v>2028-02</v>
      </c>
      <c r="I39" s="36" t="n">
        <f aca="false">IF($B$7="원리금균등",MAX(0,MIN($K$38,ROUND($B$11,0)-$J39)),IF($B$7="원금균등",MIN($K$38,ROUND($B$4/$B$6,0)),IF(18=$B$6,$K$38,0)))</f>
        <v>442574</v>
      </c>
      <c r="J39" s="36" t="n">
        <f aca="false">ROUND($K$38*$B$10,0)</f>
        <v>1024478</v>
      </c>
      <c r="K39" s="36" t="n">
        <f aca="false">MAX(0,$K$38-$I39)</f>
        <v>292265508</v>
      </c>
    </row>
    <row r="40" customFormat="false" ht="15" hidden="false" customHeight="false" outlineLevel="0" collapsed="false">
      <c r="A40" s="32" t="n">
        <f aca="false">IF(19&gt;$B$6,"",19)</f>
        <v>19</v>
      </c>
      <c r="B40" s="33" t="n">
        <f aca="false">IF($A40="","",EDATE($B$8,19-1))</f>
        <v>46813</v>
      </c>
      <c r="C40" s="34" t="n">
        <f aca="false">IF($B$7="원리금균등",MAX(0,MIN($G$39,ROUND($B$11,0)-$D40)),IF($B$7="원금균등",MIN($G$39,ROUND($B$4/$B$6,0)),IF(19=$B$6,$G$39,0)))</f>
        <v>444123</v>
      </c>
      <c r="D40" s="34" t="n">
        <f aca="false">ROUND($G$39*$B$10,0)</f>
        <v>1022929</v>
      </c>
      <c r="E40" s="34" t="n">
        <f aca="false">IF($A40="",0,$C40+$D40)</f>
        <v>1467052</v>
      </c>
      <c r="F40" s="35"/>
      <c r="G40" s="34" t="n">
        <f aca="false">MAX(0,$G$39-$C40-$F40)</f>
        <v>291821385</v>
      </c>
      <c r="H40" s="32" t="str">
        <f aca="false">IF($B40="","",TEXT($B40,"yyyy-mm"))</f>
        <v>2028-03</v>
      </c>
      <c r="I40" s="36" t="n">
        <f aca="false">IF($B$7="원리금균등",MAX(0,MIN($K$39,ROUND($B$11,0)-$J40)),IF($B$7="원금균등",MIN($K$39,ROUND($B$4/$B$6,0)),IF(19=$B$6,$K$39,0)))</f>
        <v>444123</v>
      </c>
      <c r="J40" s="36" t="n">
        <f aca="false">ROUND($K$39*$B$10,0)</f>
        <v>1022929</v>
      </c>
      <c r="K40" s="36" t="n">
        <f aca="false">MAX(0,$K$39-$I40)</f>
        <v>291821385</v>
      </c>
    </row>
    <row r="41" customFormat="false" ht="15" hidden="false" customHeight="false" outlineLevel="0" collapsed="false">
      <c r="A41" s="32" t="n">
        <f aca="false">IF(20&gt;$B$6,"",20)</f>
        <v>20</v>
      </c>
      <c r="B41" s="33" t="n">
        <f aca="false">IF($A41="","",EDATE($B$8,20-1))</f>
        <v>46844</v>
      </c>
      <c r="C41" s="34" t="n">
        <f aca="false">IF($B$7="원리금균등",MAX(0,MIN($G$40,ROUND($B$11,0)-$D41)),IF($B$7="원금균등",MIN($G$40,ROUND($B$4/$B$6,0)),IF(20=$B$6,$G$40,0)))</f>
        <v>445677</v>
      </c>
      <c r="D41" s="34" t="n">
        <f aca="false">ROUND($G$40*$B$10,0)</f>
        <v>1021375</v>
      </c>
      <c r="E41" s="34" t="n">
        <f aca="false">IF($A41="",0,$C41+$D41)</f>
        <v>1467052</v>
      </c>
      <c r="F41" s="35"/>
      <c r="G41" s="34" t="n">
        <f aca="false">MAX(0,$G$40-$C41-$F41)</f>
        <v>291375708</v>
      </c>
      <c r="H41" s="32" t="str">
        <f aca="false">IF($B41="","",TEXT($B41,"yyyy-mm"))</f>
        <v>2028-04</v>
      </c>
      <c r="I41" s="36" t="n">
        <f aca="false">IF($B$7="원리금균등",MAX(0,MIN($K$40,ROUND($B$11,0)-$J41)),IF($B$7="원금균등",MIN($K$40,ROUND($B$4/$B$6,0)),IF(20=$B$6,$K$40,0)))</f>
        <v>445677</v>
      </c>
      <c r="J41" s="36" t="n">
        <f aca="false">ROUND($K$40*$B$10,0)</f>
        <v>1021375</v>
      </c>
      <c r="K41" s="36" t="n">
        <f aca="false">MAX(0,$K$40-$I41)</f>
        <v>291375708</v>
      </c>
    </row>
    <row r="42" customFormat="false" ht="15" hidden="false" customHeight="false" outlineLevel="0" collapsed="false">
      <c r="A42" s="32" t="n">
        <f aca="false">IF(21&gt;$B$6,"",21)</f>
        <v>21</v>
      </c>
      <c r="B42" s="33" t="n">
        <f aca="false">IF($A42="","",EDATE($B$8,21-1))</f>
        <v>46874</v>
      </c>
      <c r="C42" s="34" t="n">
        <f aca="false">IF($B$7="원리금균등",MAX(0,MIN($G$41,ROUND($B$11,0)-$D42)),IF($B$7="원금균등",MIN($G$41,ROUND($B$4/$B$6,0)),IF(21=$B$6,$G$41,0)))</f>
        <v>447237</v>
      </c>
      <c r="D42" s="34" t="n">
        <f aca="false">ROUND($G$41*$B$10,0)</f>
        <v>1019815</v>
      </c>
      <c r="E42" s="34" t="n">
        <f aca="false">IF($A42="",0,$C42+$D42)</f>
        <v>1467052</v>
      </c>
      <c r="F42" s="35"/>
      <c r="G42" s="34" t="n">
        <f aca="false">MAX(0,$G$41-$C42-$F42)</f>
        <v>290928471</v>
      </c>
      <c r="H42" s="32" t="str">
        <f aca="false">IF($B42="","",TEXT($B42,"yyyy-mm"))</f>
        <v>2028-05</v>
      </c>
      <c r="I42" s="36" t="n">
        <f aca="false">IF($B$7="원리금균등",MAX(0,MIN($K$41,ROUND($B$11,0)-$J42)),IF($B$7="원금균등",MIN($K$41,ROUND($B$4/$B$6,0)),IF(21=$B$6,$K$41,0)))</f>
        <v>447237</v>
      </c>
      <c r="J42" s="36" t="n">
        <f aca="false">ROUND($K$41*$B$10,0)</f>
        <v>1019815</v>
      </c>
      <c r="K42" s="36" t="n">
        <f aca="false">MAX(0,$K$41-$I42)</f>
        <v>290928471</v>
      </c>
    </row>
    <row r="43" customFormat="false" ht="15" hidden="false" customHeight="false" outlineLevel="0" collapsed="false">
      <c r="A43" s="32" t="n">
        <f aca="false">IF(22&gt;$B$6,"",22)</f>
        <v>22</v>
      </c>
      <c r="B43" s="33" t="n">
        <f aca="false">IF($A43="","",EDATE($B$8,22-1))</f>
        <v>46905</v>
      </c>
      <c r="C43" s="34" t="n">
        <f aca="false">IF($B$7="원리금균등",MAX(0,MIN($G$42,ROUND($B$11,0)-$D43)),IF($B$7="원금균등",MIN($G$42,ROUND($B$4/$B$6,0)),IF(22=$B$6,$G$42,0)))</f>
        <v>448802</v>
      </c>
      <c r="D43" s="34" t="n">
        <f aca="false">ROUND($G$42*$B$10,0)</f>
        <v>1018250</v>
      </c>
      <c r="E43" s="34" t="n">
        <f aca="false">IF($A43="",0,$C43+$D43)</f>
        <v>1467052</v>
      </c>
      <c r="F43" s="35"/>
      <c r="G43" s="34" t="n">
        <f aca="false">MAX(0,$G$42-$C43-$F43)</f>
        <v>290479669</v>
      </c>
      <c r="H43" s="32" t="str">
        <f aca="false">IF($B43="","",TEXT($B43,"yyyy-mm"))</f>
        <v>2028-06</v>
      </c>
      <c r="I43" s="36" t="n">
        <f aca="false">IF($B$7="원리금균등",MAX(0,MIN($K$42,ROUND($B$11,0)-$J43)),IF($B$7="원금균등",MIN($K$42,ROUND($B$4/$B$6,0)),IF(22=$B$6,$K$42,0)))</f>
        <v>448802</v>
      </c>
      <c r="J43" s="36" t="n">
        <f aca="false">ROUND($K$42*$B$10,0)</f>
        <v>1018250</v>
      </c>
      <c r="K43" s="36" t="n">
        <f aca="false">MAX(0,$K$42-$I43)</f>
        <v>290479669</v>
      </c>
    </row>
    <row r="44" customFormat="false" ht="15" hidden="false" customHeight="false" outlineLevel="0" collapsed="false">
      <c r="A44" s="32" t="n">
        <f aca="false">IF(23&gt;$B$6,"",23)</f>
        <v>23</v>
      </c>
      <c r="B44" s="33" t="n">
        <f aca="false">IF($A44="","",EDATE($B$8,23-1))</f>
        <v>46935</v>
      </c>
      <c r="C44" s="34" t="n">
        <f aca="false">IF($B$7="원리금균등",MAX(0,MIN($G$43,ROUND($B$11,0)-$D44)),IF($B$7="원금균등",MIN($G$43,ROUND($B$4/$B$6,0)),IF(23=$B$6,$G$43,0)))</f>
        <v>450373</v>
      </c>
      <c r="D44" s="34" t="n">
        <f aca="false">ROUND($G$43*$B$10,0)</f>
        <v>1016679</v>
      </c>
      <c r="E44" s="34" t="n">
        <f aca="false">IF($A44="",0,$C44+$D44)</f>
        <v>1467052</v>
      </c>
      <c r="F44" s="35"/>
      <c r="G44" s="34" t="n">
        <f aca="false">MAX(0,$G$43-$C44-$F44)</f>
        <v>290029296</v>
      </c>
      <c r="H44" s="32" t="str">
        <f aca="false">IF($B44="","",TEXT($B44,"yyyy-mm"))</f>
        <v>2028-07</v>
      </c>
      <c r="I44" s="36" t="n">
        <f aca="false">IF($B$7="원리금균등",MAX(0,MIN($K$43,ROUND($B$11,0)-$J44)),IF($B$7="원금균등",MIN($K$43,ROUND($B$4/$B$6,0)),IF(23=$B$6,$K$43,0)))</f>
        <v>450373</v>
      </c>
      <c r="J44" s="36" t="n">
        <f aca="false">ROUND($K$43*$B$10,0)</f>
        <v>1016679</v>
      </c>
      <c r="K44" s="36" t="n">
        <f aca="false">MAX(0,$K$43-$I44)</f>
        <v>290029296</v>
      </c>
    </row>
    <row r="45" customFormat="false" ht="15" hidden="false" customHeight="false" outlineLevel="0" collapsed="false">
      <c r="A45" s="32" t="n">
        <f aca="false">IF(24&gt;$B$6,"",24)</f>
        <v>24</v>
      </c>
      <c r="B45" s="33" t="n">
        <f aca="false">IF($A45="","",EDATE($B$8,24-1))</f>
        <v>46966</v>
      </c>
      <c r="C45" s="34" t="n">
        <f aca="false">IF($B$7="원리금균등",MAX(0,MIN($G$44,ROUND($B$11,0)-$D45)),IF($B$7="원금균등",MIN($G$44,ROUND($B$4/$B$6,0)),IF(24=$B$6,$G$44,0)))</f>
        <v>451949</v>
      </c>
      <c r="D45" s="34" t="n">
        <f aca="false">ROUND($G$44*$B$10,0)</f>
        <v>1015103</v>
      </c>
      <c r="E45" s="34" t="n">
        <f aca="false">IF($A45="",0,$C45+$D45)</f>
        <v>1467052</v>
      </c>
      <c r="F45" s="35"/>
      <c r="G45" s="34" t="n">
        <f aca="false">MAX(0,$G$44-$C45-$F45)</f>
        <v>289577347</v>
      </c>
      <c r="H45" s="32" t="str">
        <f aca="false">IF($B45="","",TEXT($B45,"yyyy-mm"))</f>
        <v>2028-08</v>
      </c>
      <c r="I45" s="36" t="n">
        <f aca="false">IF($B$7="원리금균등",MAX(0,MIN($K$44,ROUND($B$11,0)-$J45)),IF($B$7="원금균등",MIN($K$44,ROUND($B$4/$B$6,0)),IF(24=$B$6,$K$44,0)))</f>
        <v>451949</v>
      </c>
      <c r="J45" s="36" t="n">
        <f aca="false">ROUND($K$44*$B$10,0)</f>
        <v>1015103</v>
      </c>
      <c r="K45" s="36" t="n">
        <f aca="false">MAX(0,$K$44-$I45)</f>
        <v>289577347</v>
      </c>
    </row>
    <row r="46" customFormat="false" ht="15" hidden="false" customHeight="false" outlineLevel="0" collapsed="false">
      <c r="A46" s="32" t="n">
        <f aca="false">IF(25&gt;$B$6,"",25)</f>
        <v>25</v>
      </c>
      <c r="B46" s="33" t="n">
        <f aca="false">IF($A46="","",EDATE($B$8,25-1))</f>
        <v>46997</v>
      </c>
      <c r="C46" s="34" t="n">
        <f aca="false">IF($B$7="원리금균등",MAX(0,MIN($G$45,ROUND($B$11,0)-$D46)),IF($B$7="원금균등",MIN($G$45,ROUND($B$4/$B$6,0)),IF(25=$B$6,$G$45,0)))</f>
        <v>453531</v>
      </c>
      <c r="D46" s="34" t="n">
        <f aca="false">ROUND($G$45*$B$10,0)</f>
        <v>1013521</v>
      </c>
      <c r="E46" s="34" t="n">
        <f aca="false">IF($A46="",0,$C46+$D46)</f>
        <v>1467052</v>
      </c>
      <c r="F46" s="35"/>
      <c r="G46" s="34" t="n">
        <f aca="false">MAX(0,$G$45-$C46-$F46)</f>
        <v>289123816</v>
      </c>
      <c r="H46" s="32" t="str">
        <f aca="false">IF($B46="","",TEXT($B46,"yyyy-mm"))</f>
        <v>2028-09</v>
      </c>
      <c r="I46" s="36" t="n">
        <f aca="false">IF($B$7="원리금균등",MAX(0,MIN($K$45,ROUND($B$11,0)-$J46)),IF($B$7="원금균등",MIN($K$45,ROUND($B$4/$B$6,0)),IF(25=$B$6,$K$45,0)))</f>
        <v>453531</v>
      </c>
      <c r="J46" s="36" t="n">
        <f aca="false">ROUND($K$45*$B$10,0)</f>
        <v>1013521</v>
      </c>
      <c r="K46" s="36" t="n">
        <f aca="false">MAX(0,$K$45-$I46)</f>
        <v>289123816</v>
      </c>
    </row>
    <row r="47" customFormat="false" ht="15" hidden="false" customHeight="false" outlineLevel="0" collapsed="false">
      <c r="A47" s="32" t="n">
        <f aca="false">IF(26&gt;$B$6,"",26)</f>
        <v>26</v>
      </c>
      <c r="B47" s="33" t="n">
        <f aca="false">IF($A47="","",EDATE($B$8,26-1))</f>
        <v>47027</v>
      </c>
      <c r="C47" s="34" t="n">
        <f aca="false">IF($B$7="원리금균등",MAX(0,MIN($G$46,ROUND($B$11,0)-$D47)),IF($B$7="원금균등",MIN($G$46,ROUND($B$4/$B$6,0)),IF(26=$B$6,$G$46,0)))</f>
        <v>455119</v>
      </c>
      <c r="D47" s="34" t="n">
        <f aca="false">ROUND($G$46*$B$10,0)</f>
        <v>1011933</v>
      </c>
      <c r="E47" s="34" t="n">
        <f aca="false">IF($A47="",0,$C47+$D47)</f>
        <v>1467052</v>
      </c>
      <c r="F47" s="35"/>
      <c r="G47" s="34" t="n">
        <f aca="false">MAX(0,$G$46-$C47-$F47)</f>
        <v>288668697</v>
      </c>
      <c r="H47" s="32" t="str">
        <f aca="false">IF($B47="","",TEXT($B47,"yyyy-mm"))</f>
        <v>2028-10</v>
      </c>
      <c r="I47" s="36" t="n">
        <f aca="false">IF($B$7="원리금균등",MAX(0,MIN($K$46,ROUND($B$11,0)-$J47)),IF($B$7="원금균등",MIN($K$46,ROUND($B$4/$B$6,0)),IF(26=$B$6,$K$46,0)))</f>
        <v>455119</v>
      </c>
      <c r="J47" s="36" t="n">
        <f aca="false">ROUND($K$46*$B$10,0)</f>
        <v>1011933</v>
      </c>
      <c r="K47" s="36" t="n">
        <f aca="false">MAX(0,$K$46-$I47)</f>
        <v>288668697</v>
      </c>
    </row>
    <row r="48" customFormat="false" ht="15" hidden="false" customHeight="false" outlineLevel="0" collapsed="false">
      <c r="A48" s="32" t="n">
        <f aca="false">IF(27&gt;$B$6,"",27)</f>
        <v>27</v>
      </c>
      <c r="B48" s="33" t="n">
        <f aca="false">IF($A48="","",EDATE($B$8,27-1))</f>
        <v>47058</v>
      </c>
      <c r="C48" s="34" t="n">
        <f aca="false">IF($B$7="원리금균등",MAX(0,MIN($G$47,ROUND($B$11,0)-$D48)),IF($B$7="원금균등",MIN($G$47,ROUND($B$4/$B$6,0)),IF(27=$B$6,$G$47,0)))</f>
        <v>456712</v>
      </c>
      <c r="D48" s="34" t="n">
        <f aca="false">ROUND($G$47*$B$10,0)</f>
        <v>1010340</v>
      </c>
      <c r="E48" s="34" t="n">
        <f aca="false">IF($A48="",0,$C48+$D48)</f>
        <v>1467052</v>
      </c>
      <c r="F48" s="35"/>
      <c r="G48" s="34" t="n">
        <f aca="false">MAX(0,$G$47-$C48-$F48)</f>
        <v>288211985</v>
      </c>
      <c r="H48" s="32" t="str">
        <f aca="false">IF($B48="","",TEXT($B48,"yyyy-mm"))</f>
        <v>2028-11</v>
      </c>
      <c r="I48" s="36" t="n">
        <f aca="false">IF($B$7="원리금균등",MAX(0,MIN($K$47,ROUND($B$11,0)-$J48)),IF($B$7="원금균등",MIN($K$47,ROUND($B$4/$B$6,0)),IF(27=$B$6,$K$47,0)))</f>
        <v>456712</v>
      </c>
      <c r="J48" s="36" t="n">
        <f aca="false">ROUND($K$47*$B$10,0)</f>
        <v>1010340</v>
      </c>
      <c r="K48" s="36" t="n">
        <f aca="false">MAX(0,$K$47-$I48)</f>
        <v>288211985</v>
      </c>
    </row>
    <row r="49" customFormat="false" ht="15" hidden="false" customHeight="false" outlineLevel="0" collapsed="false">
      <c r="A49" s="32" t="n">
        <f aca="false">IF(28&gt;$B$6,"",28)</f>
        <v>28</v>
      </c>
      <c r="B49" s="33" t="n">
        <f aca="false">IF($A49="","",EDATE($B$8,28-1))</f>
        <v>47088</v>
      </c>
      <c r="C49" s="34" t="n">
        <f aca="false">IF($B$7="원리금균등",MAX(0,MIN($G$48,ROUND($B$11,0)-$D49)),IF($B$7="원금균등",MIN($G$48,ROUND($B$4/$B$6,0)),IF(28=$B$6,$G$48,0)))</f>
        <v>458310</v>
      </c>
      <c r="D49" s="34" t="n">
        <f aca="false">ROUND($G$48*$B$10,0)</f>
        <v>1008742</v>
      </c>
      <c r="E49" s="34" t="n">
        <f aca="false">IF($A49="",0,$C49+$D49)</f>
        <v>1467052</v>
      </c>
      <c r="F49" s="35"/>
      <c r="G49" s="34" t="n">
        <f aca="false">MAX(0,$G$48-$C49-$F49)</f>
        <v>287753675</v>
      </c>
      <c r="H49" s="32" t="str">
        <f aca="false">IF($B49="","",TEXT($B49,"yyyy-mm"))</f>
        <v>2028-12</v>
      </c>
      <c r="I49" s="36" t="n">
        <f aca="false">IF($B$7="원리금균등",MAX(0,MIN($K$48,ROUND($B$11,0)-$J49)),IF($B$7="원금균등",MIN($K$48,ROUND($B$4/$B$6,0)),IF(28=$B$6,$K$48,0)))</f>
        <v>458310</v>
      </c>
      <c r="J49" s="36" t="n">
        <f aca="false">ROUND($K$48*$B$10,0)</f>
        <v>1008742</v>
      </c>
      <c r="K49" s="36" t="n">
        <f aca="false">MAX(0,$K$48-$I49)</f>
        <v>287753675</v>
      </c>
    </row>
    <row r="50" customFormat="false" ht="15" hidden="false" customHeight="false" outlineLevel="0" collapsed="false">
      <c r="A50" s="32" t="n">
        <f aca="false">IF(29&gt;$B$6,"",29)</f>
        <v>29</v>
      </c>
      <c r="B50" s="33" t="n">
        <f aca="false">IF($A50="","",EDATE($B$8,29-1))</f>
        <v>47119</v>
      </c>
      <c r="C50" s="34" t="n">
        <f aca="false">IF($B$7="원리금균등",MAX(0,MIN($G$49,ROUND($B$11,0)-$D50)),IF($B$7="원금균등",MIN($G$49,ROUND($B$4/$B$6,0)),IF(29=$B$6,$G$49,0)))</f>
        <v>459914</v>
      </c>
      <c r="D50" s="34" t="n">
        <f aca="false">ROUND($G$49*$B$10,0)</f>
        <v>1007138</v>
      </c>
      <c r="E50" s="34" t="n">
        <f aca="false">IF($A50="",0,$C50+$D50)</f>
        <v>1467052</v>
      </c>
      <c r="F50" s="35"/>
      <c r="G50" s="34" t="n">
        <f aca="false">MAX(0,$G$49-$C50-$F50)</f>
        <v>287293761</v>
      </c>
      <c r="H50" s="32" t="str">
        <f aca="false">IF($B50="","",TEXT($B50,"yyyy-mm"))</f>
        <v>2029-01</v>
      </c>
      <c r="I50" s="36" t="n">
        <f aca="false">IF($B$7="원리금균등",MAX(0,MIN($K$49,ROUND($B$11,0)-$J50)),IF($B$7="원금균등",MIN($K$49,ROUND($B$4/$B$6,0)),IF(29=$B$6,$K$49,0)))</f>
        <v>459914</v>
      </c>
      <c r="J50" s="36" t="n">
        <f aca="false">ROUND($K$49*$B$10,0)</f>
        <v>1007138</v>
      </c>
      <c r="K50" s="36" t="n">
        <f aca="false">MAX(0,$K$49-$I50)</f>
        <v>287293761</v>
      </c>
    </row>
    <row r="51" customFormat="false" ht="15" hidden="false" customHeight="false" outlineLevel="0" collapsed="false">
      <c r="A51" s="32" t="n">
        <f aca="false">IF(30&gt;$B$6,"",30)</f>
        <v>30</v>
      </c>
      <c r="B51" s="33" t="n">
        <f aca="false">IF($A51="","",EDATE($B$8,30-1))</f>
        <v>47150</v>
      </c>
      <c r="C51" s="34" t="n">
        <f aca="false">IF($B$7="원리금균등",MAX(0,MIN($G$50,ROUND($B$11,0)-$D51)),IF($B$7="원금균등",MIN($G$50,ROUND($B$4/$B$6,0)),IF(30=$B$6,$G$50,0)))</f>
        <v>461524</v>
      </c>
      <c r="D51" s="34" t="n">
        <f aca="false">ROUND($G$50*$B$10,0)</f>
        <v>1005528</v>
      </c>
      <c r="E51" s="34" t="n">
        <f aca="false">IF($A51="",0,$C51+$D51)</f>
        <v>1467052</v>
      </c>
      <c r="F51" s="35"/>
      <c r="G51" s="34" t="n">
        <f aca="false">MAX(0,$G$50-$C51-$F51)</f>
        <v>286832237</v>
      </c>
      <c r="H51" s="32" t="str">
        <f aca="false">IF($B51="","",TEXT($B51,"yyyy-mm"))</f>
        <v>2029-02</v>
      </c>
      <c r="I51" s="36" t="n">
        <f aca="false">IF($B$7="원리금균등",MAX(0,MIN($K$50,ROUND($B$11,0)-$J51)),IF($B$7="원금균등",MIN($K$50,ROUND($B$4/$B$6,0)),IF(30=$B$6,$K$50,0)))</f>
        <v>461524</v>
      </c>
      <c r="J51" s="36" t="n">
        <f aca="false">ROUND($K$50*$B$10,0)</f>
        <v>1005528</v>
      </c>
      <c r="K51" s="36" t="n">
        <f aca="false">MAX(0,$K$50-$I51)</f>
        <v>286832237</v>
      </c>
    </row>
    <row r="52" customFormat="false" ht="15" hidden="false" customHeight="false" outlineLevel="0" collapsed="false">
      <c r="A52" s="32" t="n">
        <f aca="false">IF(31&gt;$B$6,"",31)</f>
        <v>31</v>
      </c>
      <c r="B52" s="33" t="n">
        <f aca="false">IF($A52="","",EDATE($B$8,31-1))</f>
        <v>47178</v>
      </c>
      <c r="C52" s="34" t="n">
        <f aca="false">IF($B$7="원리금균등",MAX(0,MIN($G$51,ROUND($B$11,0)-$D52)),IF($B$7="원금균등",MIN($G$51,ROUND($B$4/$B$6,0)),IF(31=$B$6,$G$51,0)))</f>
        <v>463139</v>
      </c>
      <c r="D52" s="34" t="n">
        <f aca="false">ROUND($G$51*$B$10,0)</f>
        <v>1003913</v>
      </c>
      <c r="E52" s="34" t="n">
        <f aca="false">IF($A52="",0,$C52+$D52)</f>
        <v>1467052</v>
      </c>
      <c r="F52" s="35"/>
      <c r="G52" s="34" t="n">
        <f aca="false">MAX(0,$G$51-$C52-$F52)</f>
        <v>286369098</v>
      </c>
      <c r="H52" s="32" t="str">
        <f aca="false">IF($B52="","",TEXT($B52,"yyyy-mm"))</f>
        <v>2029-03</v>
      </c>
      <c r="I52" s="36" t="n">
        <f aca="false">IF($B$7="원리금균등",MAX(0,MIN($K$51,ROUND($B$11,0)-$J52)),IF($B$7="원금균등",MIN($K$51,ROUND($B$4/$B$6,0)),IF(31=$B$6,$K$51,0)))</f>
        <v>463139</v>
      </c>
      <c r="J52" s="36" t="n">
        <f aca="false">ROUND($K$51*$B$10,0)</f>
        <v>1003913</v>
      </c>
      <c r="K52" s="36" t="n">
        <f aca="false">MAX(0,$K$51-$I52)</f>
        <v>286369098</v>
      </c>
    </row>
    <row r="53" customFormat="false" ht="15" hidden="false" customHeight="false" outlineLevel="0" collapsed="false">
      <c r="A53" s="32" t="n">
        <f aca="false">IF(32&gt;$B$6,"",32)</f>
        <v>32</v>
      </c>
      <c r="B53" s="33" t="n">
        <f aca="false">IF($A53="","",EDATE($B$8,32-1))</f>
        <v>47209</v>
      </c>
      <c r="C53" s="34" t="n">
        <f aca="false">IF($B$7="원리금균등",MAX(0,MIN($G$52,ROUND($B$11,0)-$D53)),IF($B$7="원금균등",MIN($G$52,ROUND($B$4/$B$6,0)),IF(32=$B$6,$G$52,0)))</f>
        <v>464760</v>
      </c>
      <c r="D53" s="34" t="n">
        <f aca="false">ROUND($G$52*$B$10,0)</f>
        <v>1002292</v>
      </c>
      <c r="E53" s="34" t="n">
        <f aca="false">IF($A53="",0,$C53+$D53)</f>
        <v>1467052</v>
      </c>
      <c r="F53" s="35"/>
      <c r="G53" s="34" t="n">
        <f aca="false">MAX(0,$G$52-$C53-$F53)</f>
        <v>285904338</v>
      </c>
      <c r="H53" s="32" t="str">
        <f aca="false">IF($B53="","",TEXT($B53,"yyyy-mm"))</f>
        <v>2029-04</v>
      </c>
      <c r="I53" s="36" t="n">
        <f aca="false">IF($B$7="원리금균등",MAX(0,MIN($K$52,ROUND($B$11,0)-$J53)),IF($B$7="원금균등",MIN($K$52,ROUND($B$4/$B$6,0)),IF(32=$B$6,$K$52,0)))</f>
        <v>464760</v>
      </c>
      <c r="J53" s="36" t="n">
        <f aca="false">ROUND($K$52*$B$10,0)</f>
        <v>1002292</v>
      </c>
      <c r="K53" s="36" t="n">
        <f aca="false">MAX(0,$K$52-$I53)</f>
        <v>285904338</v>
      </c>
    </row>
    <row r="54" customFormat="false" ht="15" hidden="false" customHeight="false" outlineLevel="0" collapsed="false">
      <c r="A54" s="32" t="n">
        <f aca="false">IF(33&gt;$B$6,"",33)</f>
        <v>33</v>
      </c>
      <c r="B54" s="33" t="n">
        <f aca="false">IF($A54="","",EDATE($B$8,33-1))</f>
        <v>47239</v>
      </c>
      <c r="C54" s="34" t="n">
        <f aca="false">IF($B$7="원리금균등",MAX(0,MIN($G$53,ROUND($B$11,0)-$D54)),IF($B$7="원금균등",MIN($G$53,ROUND($B$4/$B$6,0)),IF(33=$B$6,$G$53,0)))</f>
        <v>466387</v>
      </c>
      <c r="D54" s="34" t="n">
        <f aca="false">ROUND($G$53*$B$10,0)</f>
        <v>1000665</v>
      </c>
      <c r="E54" s="34" t="n">
        <f aca="false">IF($A54="",0,$C54+$D54)</f>
        <v>1467052</v>
      </c>
      <c r="F54" s="35"/>
      <c r="G54" s="34" t="n">
        <f aca="false">MAX(0,$G$53-$C54-$F54)</f>
        <v>285437951</v>
      </c>
      <c r="H54" s="32" t="str">
        <f aca="false">IF($B54="","",TEXT($B54,"yyyy-mm"))</f>
        <v>2029-05</v>
      </c>
      <c r="I54" s="36" t="n">
        <f aca="false">IF($B$7="원리금균등",MAX(0,MIN($K$53,ROUND($B$11,0)-$J54)),IF($B$7="원금균등",MIN($K$53,ROUND($B$4/$B$6,0)),IF(33=$B$6,$K$53,0)))</f>
        <v>466387</v>
      </c>
      <c r="J54" s="36" t="n">
        <f aca="false">ROUND($K$53*$B$10,0)</f>
        <v>1000665</v>
      </c>
      <c r="K54" s="36" t="n">
        <f aca="false">MAX(0,$K$53-$I54)</f>
        <v>285437951</v>
      </c>
    </row>
    <row r="55" customFormat="false" ht="15" hidden="false" customHeight="false" outlineLevel="0" collapsed="false">
      <c r="A55" s="32" t="n">
        <f aca="false">IF(34&gt;$B$6,"",34)</f>
        <v>34</v>
      </c>
      <c r="B55" s="33" t="n">
        <f aca="false">IF($A55="","",EDATE($B$8,34-1))</f>
        <v>47270</v>
      </c>
      <c r="C55" s="34" t="n">
        <f aca="false">IF($B$7="원리금균등",MAX(0,MIN($G$54,ROUND($B$11,0)-$D55)),IF($B$7="원금균등",MIN($G$54,ROUND($B$4/$B$6,0)),IF(34=$B$6,$G$54,0)))</f>
        <v>468019</v>
      </c>
      <c r="D55" s="34" t="n">
        <f aca="false">ROUND($G$54*$B$10,0)</f>
        <v>999033</v>
      </c>
      <c r="E55" s="34" t="n">
        <f aca="false">IF($A55="",0,$C55+$D55)</f>
        <v>1467052</v>
      </c>
      <c r="F55" s="35"/>
      <c r="G55" s="34" t="n">
        <f aca="false">MAX(0,$G$54-$C55-$F55)</f>
        <v>284969932</v>
      </c>
      <c r="H55" s="32" t="str">
        <f aca="false">IF($B55="","",TEXT($B55,"yyyy-mm"))</f>
        <v>2029-06</v>
      </c>
      <c r="I55" s="36" t="n">
        <f aca="false">IF($B$7="원리금균등",MAX(0,MIN($K$54,ROUND($B$11,0)-$J55)),IF($B$7="원금균등",MIN($K$54,ROUND($B$4/$B$6,0)),IF(34=$B$6,$K$54,0)))</f>
        <v>468019</v>
      </c>
      <c r="J55" s="36" t="n">
        <f aca="false">ROUND($K$54*$B$10,0)</f>
        <v>999033</v>
      </c>
      <c r="K55" s="36" t="n">
        <f aca="false">MAX(0,$K$54-$I55)</f>
        <v>284969932</v>
      </c>
    </row>
    <row r="56" customFormat="false" ht="15" hidden="false" customHeight="false" outlineLevel="0" collapsed="false">
      <c r="A56" s="32" t="n">
        <f aca="false">IF(35&gt;$B$6,"",35)</f>
        <v>35</v>
      </c>
      <c r="B56" s="33" t="n">
        <f aca="false">IF($A56="","",EDATE($B$8,35-1))</f>
        <v>47300</v>
      </c>
      <c r="C56" s="34" t="n">
        <f aca="false">IF($B$7="원리금균등",MAX(0,MIN($G$55,ROUND($B$11,0)-$D56)),IF($B$7="원금균등",MIN($G$55,ROUND($B$4/$B$6,0)),IF(35=$B$6,$G$55,0)))</f>
        <v>469657</v>
      </c>
      <c r="D56" s="34" t="n">
        <f aca="false">ROUND($G$55*$B$10,0)</f>
        <v>997395</v>
      </c>
      <c r="E56" s="34" t="n">
        <f aca="false">IF($A56="",0,$C56+$D56)</f>
        <v>1467052</v>
      </c>
      <c r="F56" s="35"/>
      <c r="G56" s="34" t="n">
        <f aca="false">MAX(0,$G$55-$C56-$F56)</f>
        <v>284500275</v>
      </c>
      <c r="H56" s="32" t="str">
        <f aca="false">IF($B56="","",TEXT($B56,"yyyy-mm"))</f>
        <v>2029-07</v>
      </c>
      <c r="I56" s="36" t="n">
        <f aca="false">IF($B$7="원리금균등",MAX(0,MIN($K$55,ROUND($B$11,0)-$J56)),IF($B$7="원금균등",MIN($K$55,ROUND($B$4/$B$6,0)),IF(35=$B$6,$K$55,0)))</f>
        <v>469657</v>
      </c>
      <c r="J56" s="36" t="n">
        <f aca="false">ROUND($K$55*$B$10,0)</f>
        <v>997395</v>
      </c>
      <c r="K56" s="36" t="n">
        <f aca="false">MAX(0,$K$55-$I56)</f>
        <v>284500275</v>
      </c>
    </row>
    <row r="57" customFormat="false" ht="15" hidden="false" customHeight="false" outlineLevel="0" collapsed="false">
      <c r="A57" s="32" t="n">
        <f aca="false">IF(36&gt;$B$6,"",36)</f>
        <v>36</v>
      </c>
      <c r="B57" s="33" t="n">
        <f aca="false">IF($A57="","",EDATE($B$8,36-1))</f>
        <v>47331</v>
      </c>
      <c r="C57" s="34" t="n">
        <f aca="false">IF($B$7="원리금균등",MAX(0,MIN($G$56,ROUND($B$11,0)-$D57)),IF($B$7="원금균등",MIN($G$56,ROUND($B$4/$B$6,0)),IF(36=$B$6,$G$56,0)))</f>
        <v>471301</v>
      </c>
      <c r="D57" s="34" t="n">
        <f aca="false">ROUND($G$56*$B$10,0)</f>
        <v>995751</v>
      </c>
      <c r="E57" s="34" t="n">
        <f aca="false">IF($A57="",0,$C57+$D57)</f>
        <v>1467052</v>
      </c>
      <c r="F57" s="35"/>
      <c r="G57" s="34" t="n">
        <f aca="false">MAX(0,$G$56-$C57-$F57)</f>
        <v>284028974</v>
      </c>
      <c r="H57" s="32" t="str">
        <f aca="false">IF($B57="","",TEXT($B57,"yyyy-mm"))</f>
        <v>2029-08</v>
      </c>
      <c r="I57" s="36" t="n">
        <f aca="false">IF($B$7="원리금균등",MAX(0,MIN($K$56,ROUND($B$11,0)-$J57)),IF($B$7="원금균등",MIN($K$56,ROUND($B$4/$B$6,0)),IF(36=$B$6,$K$56,0)))</f>
        <v>471301</v>
      </c>
      <c r="J57" s="36" t="n">
        <f aca="false">ROUND($K$56*$B$10,0)</f>
        <v>995751</v>
      </c>
      <c r="K57" s="36" t="n">
        <f aca="false">MAX(0,$K$56-$I57)</f>
        <v>284028974</v>
      </c>
    </row>
    <row r="58" customFormat="false" ht="15" hidden="false" customHeight="false" outlineLevel="0" collapsed="false">
      <c r="A58" s="32" t="n">
        <f aca="false">IF(37&gt;$B$6,"",37)</f>
        <v>37</v>
      </c>
      <c r="B58" s="33" t="n">
        <f aca="false">IF($A58="","",EDATE($B$8,37-1))</f>
        <v>47362</v>
      </c>
      <c r="C58" s="34" t="n">
        <f aca="false">IF($B$7="원리금균등",MAX(0,MIN($G$57,ROUND($B$11,0)-$D58)),IF($B$7="원금균등",MIN($G$57,ROUND($B$4/$B$6,0)),IF(37=$B$6,$G$57,0)))</f>
        <v>472951</v>
      </c>
      <c r="D58" s="34" t="n">
        <f aca="false">ROUND($G$57*$B$10,0)</f>
        <v>994101</v>
      </c>
      <c r="E58" s="34" t="n">
        <f aca="false">IF($A58="",0,$C58+$D58)</f>
        <v>1467052</v>
      </c>
      <c r="F58" s="35"/>
      <c r="G58" s="34" t="n">
        <f aca="false">MAX(0,$G$57-$C58-$F58)</f>
        <v>283556023</v>
      </c>
      <c r="H58" s="32" t="str">
        <f aca="false">IF($B58="","",TEXT($B58,"yyyy-mm"))</f>
        <v>2029-09</v>
      </c>
      <c r="I58" s="36" t="n">
        <f aca="false">IF($B$7="원리금균등",MAX(0,MIN($K$57,ROUND($B$11,0)-$J58)),IF($B$7="원금균등",MIN($K$57,ROUND($B$4/$B$6,0)),IF(37=$B$6,$K$57,0)))</f>
        <v>472951</v>
      </c>
      <c r="J58" s="36" t="n">
        <f aca="false">ROUND($K$57*$B$10,0)</f>
        <v>994101</v>
      </c>
      <c r="K58" s="36" t="n">
        <f aca="false">MAX(0,$K$57-$I58)</f>
        <v>283556023</v>
      </c>
    </row>
    <row r="59" customFormat="false" ht="15" hidden="false" customHeight="false" outlineLevel="0" collapsed="false">
      <c r="A59" s="32" t="n">
        <f aca="false">IF(38&gt;$B$6,"",38)</f>
        <v>38</v>
      </c>
      <c r="B59" s="33" t="n">
        <f aca="false">IF($A59="","",EDATE($B$8,38-1))</f>
        <v>47392</v>
      </c>
      <c r="C59" s="34" t="n">
        <f aca="false">IF($B$7="원리금균등",MAX(0,MIN($G$58,ROUND($B$11,0)-$D59)),IF($B$7="원금균등",MIN($G$58,ROUND($B$4/$B$6,0)),IF(38=$B$6,$G$58,0)))</f>
        <v>474606</v>
      </c>
      <c r="D59" s="34" t="n">
        <f aca="false">ROUND($G$58*$B$10,0)</f>
        <v>992446</v>
      </c>
      <c r="E59" s="34" t="n">
        <f aca="false">IF($A59="",0,$C59+$D59)</f>
        <v>1467052</v>
      </c>
      <c r="F59" s="35"/>
      <c r="G59" s="34" t="n">
        <f aca="false">MAX(0,$G$58-$C59-$F59)</f>
        <v>283081417</v>
      </c>
      <c r="H59" s="32" t="str">
        <f aca="false">IF($B59="","",TEXT($B59,"yyyy-mm"))</f>
        <v>2029-10</v>
      </c>
      <c r="I59" s="36" t="n">
        <f aca="false">IF($B$7="원리금균등",MAX(0,MIN($K$58,ROUND($B$11,0)-$J59)),IF($B$7="원금균등",MIN($K$58,ROUND($B$4/$B$6,0)),IF(38=$B$6,$K$58,0)))</f>
        <v>474606</v>
      </c>
      <c r="J59" s="36" t="n">
        <f aca="false">ROUND($K$58*$B$10,0)</f>
        <v>992446</v>
      </c>
      <c r="K59" s="36" t="n">
        <f aca="false">MAX(0,$K$58-$I59)</f>
        <v>283081417</v>
      </c>
    </row>
    <row r="60" customFormat="false" ht="15" hidden="false" customHeight="false" outlineLevel="0" collapsed="false">
      <c r="A60" s="32" t="n">
        <f aca="false">IF(39&gt;$B$6,"",39)</f>
        <v>39</v>
      </c>
      <c r="B60" s="33" t="n">
        <f aca="false">IF($A60="","",EDATE($B$8,39-1))</f>
        <v>47423</v>
      </c>
      <c r="C60" s="34" t="n">
        <f aca="false">IF($B$7="원리금균등",MAX(0,MIN($G$59,ROUND($B$11,0)-$D60)),IF($B$7="원금균등",MIN($G$59,ROUND($B$4/$B$6,0)),IF(39=$B$6,$G$59,0)))</f>
        <v>476267</v>
      </c>
      <c r="D60" s="34" t="n">
        <f aca="false">ROUND($G$59*$B$10,0)</f>
        <v>990785</v>
      </c>
      <c r="E60" s="34" t="n">
        <f aca="false">IF($A60="",0,$C60+$D60)</f>
        <v>1467052</v>
      </c>
      <c r="F60" s="35"/>
      <c r="G60" s="34" t="n">
        <f aca="false">MAX(0,$G$59-$C60-$F60)</f>
        <v>282605150</v>
      </c>
      <c r="H60" s="32" t="str">
        <f aca="false">IF($B60="","",TEXT($B60,"yyyy-mm"))</f>
        <v>2029-11</v>
      </c>
      <c r="I60" s="36" t="n">
        <f aca="false">IF($B$7="원리금균등",MAX(0,MIN($K$59,ROUND($B$11,0)-$J60)),IF($B$7="원금균등",MIN($K$59,ROUND($B$4/$B$6,0)),IF(39=$B$6,$K$59,0)))</f>
        <v>476267</v>
      </c>
      <c r="J60" s="36" t="n">
        <f aca="false">ROUND($K$59*$B$10,0)</f>
        <v>990785</v>
      </c>
      <c r="K60" s="36" t="n">
        <f aca="false">MAX(0,$K$59-$I60)</f>
        <v>282605150</v>
      </c>
    </row>
    <row r="61" customFormat="false" ht="15" hidden="false" customHeight="false" outlineLevel="0" collapsed="false">
      <c r="A61" s="32" t="n">
        <f aca="false">IF(40&gt;$B$6,"",40)</f>
        <v>40</v>
      </c>
      <c r="B61" s="33" t="n">
        <f aca="false">IF($A61="","",EDATE($B$8,40-1))</f>
        <v>47453</v>
      </c>
      <c r="C61" s="34" t="n">
        <f aca="false">IF($B$7="원리금균등",MAX(0,MIN($G$60,ROUND($B$11,0)-$D61)),IF($B$7="원금균등",MIN($G$60,ROUND($B$4/$B$6,0)),IF(40=$B$6,$G$60,0)))</f>
        <v>477934</v>
      </c>
      <c r="D61" s="34" t="n">
        <f aca="false">ROUND($G$60*$B$10,0)</f>
        <v>989118</v>
      </c>
      <c r="E61" s="34" t="n">
        <f aca="false">IF($A61="",0,$C61+$D61)</f>
        <v>1467052</v>
      </c>
      <c r="F61" s="35"/>
      <c r="G61" s="34" t="n">
        <f aca="false">MAX(0,$G$60-$C61-$F61)</f>
        <v>282127216</v>
      </c>
      <c r="H61" s="32" t="str">
        <f aca="false">IF($B61="","",TEXT($B61,"yyyy-mm"))</f>
        <v>2029-12</v>
      </c>
      <c r="I61" s="36" t="n">
        <f aca="false">IF($B$7="원리금균등",MAX(0,MIN($K$60,ROUND($B$11,0)-$J61)),IF($B$7="원금균등",MIN($K$60,ROUND($B$4/$B$6,0)),IF(40=$B$6,$K$60,0)))</f>
        <v>477934</v>
      </c>
      <c r="J61" s="36" t="n">
        <f aca="false">ROUND($K$60*$B$10,0)</f>
        <v>989118</v>
      </c>
      <c r="K61" s="36" t="n">
        <f aca="false">MAX(0,$K$60-$I61)</f>
        <v>282127216</v>
      </c>
    </row>
    <row r="62" customFormat="false" ht="15" hidden="false" customHeight="false" outlineLevel="0" collapsed="false">
      <c r="A62" s="32" t="n">
        <f aca="false">IF(41&gt;$B$6,"",41)</f>
        <v>41</v>
      </c>
      <c r="B62" s="33" t="n">
        <f aca="false">IF($A62="","",EDATE($B$8,41-1))</f>
        <v>47484</v>
      </c>
      <c r="C62" s="34" t="n">
        <f aca="false">IF($B$7="원리금균등",MAX(0,MIN($G$61,ROUND($B$11,0)-$D62)),IF($B$7="원금균등",MIN($G$61,ROUND($B$4/$B$6,0)),IF(41=$B$6,$G$61,0)))</f>
        <v>479607</v>
      </c>
      <c r="D62" s="34" t="n">
        <f aca="false">ROUND($G$61*$B$10,0)</f>
        <v>987445</v>
      </c>
      <c r="E62" s="34" t="n">
        <f aca="false">IF($A62="",0,$C62+$D62)</f>
        <v>1467052</v>
      </c>
      <c r="F62" s="35"/>
      <c r="G62" s="34" t="n">
        <f aca="false">MAX(0,$G$61-$C62-$F62)</f>
        <v>281647609</v>
      </c>
      <c r="H62" s="32" t="str">
        <f aca="false">IF($B62="","",TEXT($B62,"yyyy-mm"))</f>
        <v>2030-01</v>
      </c>
      <c r="I62" s="36" t="n">
        <f aca="false">IF($B$7="원리금균등",MAX(0,MIN($K$61,ROUND($B$11,0)-$J62)),IF($B$7="원금균등",MIN($K$61,ROUND($B$4/$B$6,0)),IF(41=$B$6,$K$61,0)))</f>
        <v>479607</v>
      </c>
      <c r="J62" s="36" t="n">
        <f aca="false">ROUND($K$61*$B$10,0)</f>
        <v>987445</v>
      </c>
      <c r="K62" s="36" t="n">
        <f aca="false">MAX(0,$K$61-$I62)</f>
        <v>281647609</v>
      </c>
    </row>
    <row r="63" customFormat="false" ht="15" hidden="false" customHeight="false" outlineLevel="0" collapsed="false">
      <c r="A63" s="32" t="n">
        <f aca="false">IF(42&gt;$B$6,"",42)</f>
        <v>42</v>
      </c>
      <c r="B63" s="33" t="n">
        <f aca="false">IF($A63="","",EDATE($B$8,42-1))</f>
        <v>47515</v>
      </c>
      <c r="C63" s="34" t="n">
        <f aca="false">IF($B$7="원리금균등",MAX(0,MIN($G$62,ROUND($B$11,0)-$D63)),IF($B$7="원금균등",MIN($G$62,ROUND($B$4/$B$6,0)),IF(42=$B$6,$G$62,0)))</f>
        <v>481285</v>
      </c>
      <c r="D63" s="34" t="n">
        <f aca="false">ROUND($G$62*$B$10,0)</f>
        <v>985767</v>
      </c>
      <c r="E63" s="34" t="n">
        <f aca="false">IF($A63="",0,$C63+$D63)</f>
        <v>1467052</v>
      </c>
      <c r="F63" s="35"/>
      <c r="G63" s="34" t="n">
        <f aca="false">MAX(0,$G$62-$C63-$F63)</f>
        <v>281166324</v>
      </c>
      <c r="H63" s="32" t="str">
        <f aca="false">IF($B63="","",TEXT($B63,"yyyy-mm"))</f>
        <v>2030-02</v>
      </c>
      <c r="I63" s="36" t="n">
        <f aca="false">IF($B$7="원리금균등",MAX(0,MIN($K$62,ROUND($B$11,0)-$J63)),IF($B$7="원금균등",MIN($K$62,ROUND($B$4/$B$6,0)),IF(42=$B$6,$K$62,0)))</f>
        <v>481285</v>
      </c>
      <c r="J63" s="36" t="n">
        <f aca="false">ROUND($K$62*$B$10,0)</f>
        <v>985767</v>
      </c>
      <c r="K63" s="36" t="n">
        <f aca="false">MAX(0,$K$62-$I63)</f>
        <v>281166324</v>
      </c>
    </row>
    <row r="64" customFormat="false" ht="15" hidden="false" customHeight="false" outlineLevel="0" collapsed="false">
      <c r="A64" s="32" t="n">
        <f aca="false">IF(43&gt;$B$6,"",43)</f>
        <v>43</v>
      </c>
      <c r="B64" s="33" t="n">
        <f aca="false">IF($A64="","",EDATE($B$8,43-1))</f>
        <v>47543</v>
      </c>
      <c r="C64" s="34" t="n">
        <f aca="false">IF($B$7="원리금균등",MAX(0,MIN($G$63,ROUND($B$11,0)-$D64)),IF($B$7="원금균등",MIN($G$63,ROUND($B$4/$B$6,0)),IF(43=$B$6,$G$63,0)))</f>
        <v>482970</v>
      </c>
      <c r="D64" s="34" t="n">
        <f aca="false">ROUND($G$63*$B$10,0)</f>
        <v>984082</v>
      </c>
      <c r="E64" s="34" t="n">
        <f aca="false">IF($A64="",0,$C64+$D64)</f>
        <v>1467052</v>
      </c>
      <c r="F64" s="35"/>
      <c r="G64" s="34" t="n">
        <f aca="false">MAX(0,$G$63-$C64-$F64)</f>
        <v>280683354</v>
      </c>
      <c r="H64" s="32" t="str">
        <f aca="false">IF($B64="","",TEXT($B64,"yyyy-mm"))</f>
        <v>2030-03</v>
      </c>
      <c r="I64" s="36" t="n">
        <f aca="false">IF($B$7="원리금균등",MAX(0,MIN($K$63,ROUND($B$11,0)-$J64)),IF($B$7="원금균등",MIN($K$63,ROUND($B$4/$B$6,0)),IF(43=$B$6,$K$63,0)))</f>
        <v>482970</v>
      </c>
      <c r="J64" s="36" t="n">
        <f aca="false">ROUND($K$63*$B$10,0)</f>
        <v>984082</v>
      </c>
      <c r="K64" s="36" t="n">
        <f aca="false">MAX(0,$K$63-$I64)</f>
        <v>280683354</v>
      </c>
    </row>
    <row r="65" customFormat="false" ht="15" hidden="false" customHeight="false" outlineLevel="0" collapsed="false">
      <c r="A65" s="32" t="n">
        <f aca="false">IF(44&gt;$B$6,"",44)</f>
        <v>44</v>
      </c>
      <c r="B65" s="33" t="n">
        <f aca="false">IF($A65="","",EDATE($B$8,44-1))</f>
        <v>47574</v>
      </c>
      <c r="C65" s="34" t="n">
        <f aca="false">IF($B$7="원리금균등",MAX(0,MIN($G$64,ROUND($B$11,0)-$D65)),IF($B$7="원금균등",MIN($G$64,ROUND($B$4/$B$6,0)),IF(44=$B$6,$G$64,0)))</f>
        <v>484660</v>
      </c>
      <c r="D65" s="34" t="n">
        <f aca="false">ROUND($G$64*$B$10,0)</f>
        <v>982392</v>
      </c>
      <c r="E65" s="34" t="n">
        <f aca="false">IF($A65="",0,$C65+$D65)</f>
        <v>1467052</v>
      </c>
      <c r="F65" s="35"/>
      <c r="G65" s="34" t="n">
        <f aca="false">MAX(0,$G$64-$C65-$F65)</f>
        <v>280198694</v>
      </c>
      <c r="H65" s="32" t="str">
        <f aca="false">IF($B65="","",TEXT($B65,"yyyy-mm"))</f>
        <v>2030-04</v>
      </c>
      <c r="I65" s="36" t="n">
        <f aca="false">IF($B$7="원리금균등",MAX(0,MIN($K$64,ROUND($B$11,0)-$J65)),IF($B$7="원금균등",MIN($K$64,ROUND($B$4/$B$6,0)),IF(44=$B$6,$K$64,0)))</f>
        <v>484660</v>
      </c>
      <c r="J65" s="36" t="n">
        <f aca="false">ROUND($K$64*$B$10,0)</f>
        <v>982392</v>
      </c>
      <c r="K65" s="36" t="n">
        <f aca="false">MAX(0,$K$64-$I65)</f>
        <v>280198694</v>
      </c>
    </row>
    <row r="66" customFormat="false" ht="15" hidden="false" customHeight="false" outlineLevel="0" collapsed="false">
      <c r="A66" s="32" t="n">
        <f aca="false">IF(45&gt;$B$6,"",45)</f>
        <v>45</v>
      </c>
      <c r="B66" s="33" t="n">
        <f aca="false">IF($A66="","",EDATE($B$8,45-1))</f>
        <v>47604</v>
      </c>
      <c r="C66" s="34" t="n">
        <f aca="false">IF($B$7="원리금균등",MAX(0,MIN($G$65,ROUND($B$11,0)-$D66)),IF($B$7="원금균등",MIN($G$65,ROUND($B$4/$B$6,0)),IF(45=$B$6,$G$65,0)))</f>
        <v>486357</v>
      </c>
      <c r="D66" s="34" t="n">
        <f aca="false">ROUND($G$65*$B$10,0)</f>
        <v>980695</v>
      </c>
      <c r="E66" s="34" t="n">
        <f aca="false">IF($A66="",0,$C66+$D66)</f>
        <v>1467052</v>
      </c>
      <c r="F66" s="35"/>
      <c r="G66" s="34" t="n">
        <f aca="false">MAX(0,$G$65-$C66-$F66)</f>
        <v>279712337</v>
      </c>
      <c r="H66" s="32" t="str">
        <f aca="false">IF($B66="","",TEXT($B66,"yyyy-mm"))</f>
        <v>2030-05</v>
      </c>
      <c r="I66" s="36" t="n">
        <f aca="false">IF($B$7="원리금균등",MAX(0,MIN($K$65,ROUND($B$11,0)-$J66)),IF($B$7="원금균등",MIN($K$65,ROUND($B$4/$B$6,0)),IF(45=$B$6,$K$65,0)))</f>
        <v>486357</v>
      </c>
      <c r="J66" s="36" t="n">
        <f aca="false">ROUND($K$65*$B$10,0)</f>
        <v>980695</v>
      </c>
      <c r="K66" s="36" t="n">
        <f aca="false">MAX(0,$K$65-$I66)</f>
        <v>279712337</v>
      </c>
    </row>
    <row r="67" customFormat="false" ht="15" hidden="false" customHeight="false" outlineLevel="0" collapsed="false">
      <c r="A67" s="32" t="n">
        <f aca="false">IF(46&gt;$B$6,"",46)</f>
        <v>46</v>
      </c>
      <c r="B67" s="33" t="n">
        <f aca="false">IF($A67="","",EDATE($B$8,46-1))</f>
        <v>47635</v>
      </c>
      <c r="C67" s="34" t="n">
        <f aca="false">IF($B$7="원리금균등",MAX(0,MIN($G$66,ROUND($B$11,0)-$D67)),IF($B$7="원금균등",MIN($G$66,ROUND($B$4/$B$6,0)),IF(46=$B$6,$G$66,0)))</f>
        <v>488059</v>
      </c>
      <c r="D67" s="34" t="n">
        <f aca="false">ROUND($G$66*$B$10,0)</f>
        <v>978993</v>
      </c>
      <c r="E67" s="34" t="n">
        <f aca="false">IF($A67="",0,$C67+$D67)</f>
        <v>1467052</v>
      </c>
      <c r="F67" s="35"/>
      <c r="G67" s="34" t="n">
        <f aca="false">MAX(0,$G$66-$C67-$F67)</f>
        <v>279224278</v>
      </c>
      <c r="H67" s="32" t="str">
        <f aca="false">IF($B67="","",TEXT($B67,"yyyy-mm"))</f>
        <v>2030-06</v>
      </c>
      <c r="I67" s="36" t="n">
        <f aca="false">IF($B$7="원리금균등",MAX(0,MIN($K$66,ROUND($B$11,0)-$J67)),IF($B$7="원금균등",MIN($K$66,ROUND($B$4/$B$6,0)),IF(46=$B$6,$K$66,0)))</f>
        <v>488059</v>
      </c>
      <c r="J67" s="36" t="n">
        <f aca="false">ROUND($K$66*$B$10,0)</f>
        <v>978993</v>
      </c>
      <c r="K67" s="36" t="n">
        <f aca="false">MAX(0,$K$66-$I67)</f>
        <v>279224278</v>
      </c>
    </row>
    <row r="68" customFormat="false" ht="15" hidden="false" customHeight="false" outlineLevel="0" collapsed="false">
      <c r="A68" s="32" t="n">
        <f aca="false">IF(47&gt;$B$6,"",47)</f>
        <v>47</v>
      </c>
      <c r="B68" s="33" t="n">
        <f aca="false">IF($A68="","",EDATE($B$8,47-1))</f>
        <v>47665</v>
      </c>
      <c r="C68" s="34" t="n">
        <f aca="false">IF($B$7="원리금균등",MAX(0,MIN($G$67,ROUND($B$11,0)-$D68)),IF($B$7="원금균등",MIN($G$67,ROUND($B$4/$B$6,0)),IF(47=$B$6,$G$67,0)))</f>
        <v>489767</v>
      </c>
      <c r="D68" s="34" t="n">
        <f aca="false">ROUND($G$67*$B$10,0)</f>
        <v>977285</v>
      </c>
      <c r="E68" s="34" t="n">
        <f aca="false">IF($A68="",0,$C68+$D68)</f>
        <v>1467052</v>
      </c>
      <c r="F68" s="35"/>
      <c r="G68" s="34" t="n">
        <f aca="false">MAX(0,$G$67-$C68-$F68)</f>
        <v>278734511</v>
      </c>
      <c r="H68" s="32" t="str">
        <f aca="false">IF($B68="","",TEXT($B68,"yyyy-mm"))</f>
        <v>2030-07</v>
      </c>
      <c r="I68" s="36" t="n">
        <f aca="false">IF($B$7="원리금균등",MAX(0,MIN($K$67,ROUND($B$11,0)-$J68)),IF($B$7="원금균등",MIN($K$67,ROUND($B$4/$B$6,0)),IF(47=$B$6,$K$67,0)))</f>
        <v>489767</v>
      </c>
      <c r="J68" s="36" t="n">
        <f aca="false">ROUND($K$67*$B$10,0)</f>
        <v>977285</v>
      </c>
      <c r="K68" s="36" t="n">
        <f aca="false">MAX(0,$K$67-$I68)</f>
        <v>278734511</v>
      </c>
    </row>
    <row r="69" customFormat="false" ht="15" hidden="false" customHeight="false" outlineLevel="0" collapsed="false">
      <c r="A69" s="32" t="n">
        <f aca="false">IF(48&gt;$B$6,"",48)</f>
        <v>48</v>
      </c>
      <c r="B69" s="33" t="n">
        <f aca="false">IF($A69="","",EDATE($B$8,48-1))</f>
        <v>47696</v>
      </c>
      <c r="C69" s="34" t="n">
        <f aca="false">IF($B$7="원리금균등",MAX(0,MIN($G$68,ROUND($B$11,0)-$D69)),IF($B$7="원금균등",MIN($G$68,ROUND($B$4/$B$6,0)),IF(48=$B$6,$G$68,0)))</f>
        <v>491481</v>
      </c>
      <c r="D69" s="34" t="n">
        <f aca="false">ROUND($G$68*$B$10,0)</f>
        <v>975571</v>
      </c>
      <c r="E69" s="34" t="n">
        <f aca="false">IF($A69="",0,$C69+$D69)</f>
        <v>1467052</v>
      </c>
      <c r="F69" s="35"/>
      <c r="G69" s="34" t="n">
        <f aca="false">MAX(0,$G$68-$C69-$F69)</f>
        <v>278243030</v>
      </c>
      <c r="H69" s="32" t="str">
        <f aca="false">IF($B69="","",TEXT($B69,"yyyy-mm"))</f>
        <v>2030-08</v>
      </c>
      <c r="I69" s="36" t="n">
        <f aca="false">IF($B$7="원리금균등",MAX(0,MIN($K$68,ROUND($B$11,0)-$J69)),IF($B$7="원금균등",MIN($K$68,ROUND($B$4/$B$6,0)),IF(48=$B$6,$K$68,0)))</f>
        <v>491481</v>
      </c>
      <c r="J69" s="36" t="n">
        <f aca="false">ROUND($K$68*$B$10,0)</f>
        <v>975571</v>
      </c>
      <c r="K69" s="36" t="n">
        <f aca="false">MAX(0,$K$68-$I69)</f>
        <v>278243030</v>
      </c>
    </row>
    <row r="70" customFormat="false" ht="15" hidden="false" customHeight="false" outlineLevel="0" collapsed="false">
      <c r="A70" s="32" t="n">
        <f aca="false">IF(49&gt;$B$6,"",49)</f>
        <v>49</v>
      </c>
      <c r="B70" s="33" t="n">
        <f aca="false">IF($A70="","",EDATE($B$8,49-1))</f>
        <v>47727</v>
      </c>
      <c r="C70" s="34" t="n">
        <f aca="false">IF($B$7="원리금균등",MAX(0,MIN($G$69,ROUND($B$11,0)-$D70)),IF($B$7="원금균등",MIN($G$69,ROUND($B$4/$B$6,0)),IF(49=$B$6,$G$69,0)))</f>
        <v>493201</v>
      </c>
      <c r="D70" s="34" t="n">
        <f aca="false">ROUND($G$69*$B$10,0)</f>
        <v>973851</v>
      </c>
      <c r="E70" s="34" t="n">
        <f aca="false">IF($A70="",0,$C70+$D70)</f>
        <v>1467052</v>
      </c>
      <c r="F70" s="35"/>
      <c r="G70" s="34" t="n">
        <f aca="false">MAX(0,$G$69-$C70-$F70)</f>
        <v>277749829</v>
      </c>
      <c r="H70" s="32" t="str">
        <f aca="false">IF($B70="","",TEXT($B70,"yyyy-mm"))</f>
        <v>2030-09</v>
      </c>
      <c r="I70" s="36" t="n">
        <f aca="false">IF($B$7="원리금균등",MAX(0,MIN($K$69,ROUND($B$11,0)-$J70)),IF($B$7="원금균등",MIN($K$69,ROUND($B$4/$B$6,0)),IF(49=$B$6,$K$69,0)))</f>
        <v>493201</v>
      </c>
      <c r="J70" s="36" t="n">
        <f aca="false">ROUND($K$69*$B$10,0)</f>
        <v>973851</v>
      </c>
      <c r="K70" s="36" t="n">
        <f aca="false">MAX(0,$K$69-$I70)</f>
        <v>277749829</v>
      </c>
    </row>
    <row r="71" customFormat="false" ht="15" hidden="false" customHeight="false" outlineLevel="0" collapsed="false">
      <c r="A71" s="32" t="n">
        <f aca="false">IF(50&gt;$B$6,"",50)</f>
        <v>50</v>
      </c>
      <c r="B71" s="33" t="n">
        <f aca="false">IF($A71="","",EDATE($B$8,50-1))</f>
        <v>47757</v>
      </c>
      <c r="C71" s="34" t="n">
        <f aca="false">IF($B$7="원리금균등",MAX(0,MIN($G$70,ROUND($B$11,0)-$D71)),IF($B$7="원금균등",MIN($G$70,ROUND($B$4/$B$6,0)),IF(50=$B$6,$G$70,0)))</f>
        <v>494928</v>
      </c>
      <c r="D71" s="34" t="n">
        <f aca="false">ROUND($G$70*$B$10,0)</f>
        <v>972124</v>
      </c>
      <c r="E71" s="34" t="n">
        <f aca="false">IF($A71="",0,$C71+$D71)</f>
        <v>1467052</v>
      </c>
      <c r="F71" s="35"/>
      <c r="G71" s="34" t="n">
        <f aca="false">MAX(0,$G$70-$C71-$F71)</f>
        <v>277254901</v>
      </c>
      <c r="H71" s="32" t="str">
        <f aca="false">IF($B71="","",TEXT($B71,"yyyy-mm"))</f>
        <v>2030-10</v>
      </c>
      <c r="I71" s="36" t="n">
        <f aca="false">IF($B$7="원리금균등",MAX(0,MIN($K$70,ROUND($B$11,0)-$J71)),IF($B$7="원금균등",MIN($K$70,ROUND($B$4/$B$6,0)),IF(50=$B$6,$K$70,0)))</f>
        <v>494928</v>
      </c>
      <c r="J71" s="36" t="n">
        <f aca="false">ROUND($K$70*$B$10,0)</f>
        <v>972124</v>
      </c>
      <c r="K71" s="36" t="n">
        <f aca="false">MAX(0,$K$70-$I71)</f>
        <v>277254901</v>
      </c>
    </row>
    <row r="72" customFormat="false" ht="15" hidden="false" customHeight="false" outlineLevel="0" collapsed="false">
      <c r="A72" s="32" t="n">
        <f aca="false">IF(51&gt;$B$6,"",51)</f>
        <v>51</v>
      </c>
      <c r="B72" s="33" t="n">
        <f aca="false">IF($A72="","",EDATE($B$8,51-1))</f>
        <v>47788</v>
      </c>
      <c r="C72" s="34" t="n">
        <f aca="false">IF($B$7="원리금균등",MAX(0,MIN($G$71,ROUND($B$11,0)-$D72)),IF($B$7="원금균등",MIN($G$71,ROUND($B$4/$B$6,0)),IF(51=$B$6,$G$71,0)))</f>
        <v>496660</v>
      </c>
      <c r="D72" s="34" t="n">
        <f aca="false">ROUND($G$71*$B$10,0)</f>
        <v>970392</v>
      </c>
      <c r="E72" s="34" t="n">
        <f aca="false">IF($A72="",0,$C72+$D72)</f>
        <v>1467052</v>
      </c>
      <c r="F72" s="35"/>
      <c r="G72" s="34" t="n">
        <f aca="false">MAX(0,$G$71-$C72-$F72)</f>
        <v>276758241</v>
      </c>
      <c r="H72" s="32" t="str">
        <f aca="false">IF($B72="","",TEXT($B72,"yyyy-mm"))</f>
        <v>2030-11</v>
      </c>
      <c r="I72" s="36" t="n">
        <f aca="false">IF($B$7="원리금균등",MAX(0,MIN($K$71,ROUND($B$11,0)-$J72)),IF($B$7="원금균등",MIN($K$71,ROUND($B$4/$B$6,0)),IF(51=$B$6,$K$71,0)))</f>
        <v>496660</v>
      </c>
      <c r="J72" s="36" t="n">
        <f aca="false">ROUND($K$71*$B$10,0)</f>
        <v>970392</v>
      </c>
      <c r="K72" s="36" t="n">
        <f aca="false">MAX(0,$K$71-$I72)</f>
        <v>276758241</v>
      </c>
    </row>
    <row r="73" customFormat="false" ht="15" hidden="false" customHeight="false" outlineLevel="0" collapsed="false">
      <c r="A73" s="32" t="n">
        <f aca="false">IF(52&gt;$B$6,"",52)</f>
        <v>52</v>
      </c>
      <c r="B73" s="33" t="n">
        <f aca="false">IF($A73="","",EDATE($B$8,52-1))</f>
        <v>47818</v>
      </c>
      <c r="C73" s="34" t="n">
        <f aca="false">IF($B$7="원리금균등",MAX(0,MIN($G$72,ROUND($B$11,0)-$D73)),IF($B$7="원금균등",MIN($G$72,ROUND($B$4/$B$6,0)),IF(52=$B$6,$G$72,0)))</f>
        <v>498398</v>
      </c>
      <c r="D73" s="34" t="n">
        <f aca="false">ROUND($G$72*$B$10,0)</f>
        <v>968654</v>
      </c>
      <c r="E73" s="34" t="n">
        <f aca="false">IF($A73="",0,$C73+$D73)</f>
        <v>1467052</v>
      </c>
      <c r="F73" s="35"/>
      <c r="G73" s="34" t="n">
        <f aca="false">MAX(0,$G$72-$C73-$F73)</f>
        <v>276259843</v>
      </c>
      <c r="H73" s="32" t="str">
        <f aca="false">IF($B73="","",TEXT($B73,"yyyy-mm"))</f>
        <v>2030-12</v>
      </c>
      <c r="I73" s="36" t="n">
        <f aca="false">IF($B$7="원리금균등",MAX(0,MIN($K$72,ROUND($B$11,0)-$J73)),IF($B$7="원금균등",MIN($K$72,ROUND($B$4/$B$6,0)),IF(52=$B$6,$K$72,0)))</f>
        <v>498398</v>
      </c>
      <c r="J73" s="36" t="n">
        <f aca="false">ROUND($K$72*$B$10,0)</f>
        <v>968654</v>
      </c>
      <c r="K73" s="36" t="n">
        <f aca="false">MAX(0,$K$72-$I73)</f>
        <v>276259843</v>
      </c>
    </row>
    <row r="74" customFormat="false" ht="15" hidden="false" customHeight="false" outlineLevel="0" collapsed="false">
      <c r="A74" s="32" t="n">
        <f aca="false">IF(53&gt;$B$6,"",53)</f>
        <v>53</v>
      </c>
      <c r="B74" s="33" t="n">
        <f aca="false">IF($A74="","",EDATE($B$8,53-1))</f>
        <v>47849</v>
      </c>
      <c r="C74" s="34" t="n">
        <f aca="false">IF($B$7="원리금균등",MAX(0,MIN($G$73,ROUND($B$11,0)-$D74)),IF($B$7="원금균등",MIN($G$73,ROUND($B$4/$B$6,0)),IF(53=$B$6,$G$73,0)))</f>
        <v>500143</v>
      </c>
      <c r="D74" s="34" t="n">
        <f aca="false">ROUND($G$73*$B$10,0)</f>
        <v>966909</v>
      </c>
      <c r="E74" s="34" t="n">
        <f aca="false">IF($A74="",0,$C74+$D74)</f>
        <v>1467052</v>
      </c>
      <c r="F74" s="35"/>
      <c r="G74" s="34" t="n">
        <f aca="false">MAX(0,$G$73-$C74-$F74)</f>
        <v>275759700</v>
      </c>
      <c r="H74" s="32" t="str">
        <f aca="false">IF($B74="","",TEXT($B74,"yyyy-mm"))</f>
        <v>2031-01</v>
      </c>
      <c r="I74" s="36" t="n">
        <f aca="false">IF($B$7="원리금균등",MAX(0,MIN($K$73,ROUND($B$11,0)-$J74)),IF($B$7="원금균등",MIN($K$73,ROUND($B$4/$B$6,0)),IF(53=$B$6,$K$73,0)))</f>
        <v>500143</v>
      </c>
      <c r="J74" s="36" t="n">
        <f aca="false">ROUND($K$73*$B$10,0)</f>
        <v>966909</v>
      </c>
      <c r="K74" s="36" t="n">
        <f aca="false">MAX(0,$K$73-$I74)</f>
        <v>275759700</v>
      </c>
    </row>
    <row r="75" customFormat="false" ht="15" hidden="false" customHeight="false" outlineLevel="0" collapsed="false">
      <c r="A75" s="32" t="n">
        <f aca="false">IF(54&gt;$B$6,"",54)</f>
        <v>54</v>
      </c>
      <c r="B75" s="33" t="n">
        <f aca="false">IF($A75="","",EDATE($B$8,54-1))</f>
        <v>47880</v>
      </c>
      <c r="C75" s="34" t="n">
        <f aca="false">IF($B$7="원리금균등",MAX(0,MIN($G$74,ROUND($B$11,0)-$D75)),IF($B$7="원금균등",MIN($G$74,ROUND($B$4/$B$6,0)),IF(54=$B$6,$G$74,0)))</f>
        <v>501893</v>
      </c>
      <c r="D75" s="34" t="n">
        <f aca="false">ROUND($G$74*$B$10,0)</f>
        <v>965159</v>
      </c>
      <c r="E75" s="34" t="n">
        <f aca="false">IF($A75="",0,$C75+$D75)</f>
        <v>1467052</v>
      </c>
      <c r="F75" s="35"/>
      <c r="G75" s="34" t="n">
        <f aca="false">MAX(0,$G$74-$C75-$F75)</f>
        <v>275257807</v>
      </c>
      <c r="H75" s="32" t="str">
        <f aca="false">IF($B75="","",TEXT($B75,"yyyy-mm"))</f>
        <v>2031-02</v>
      </c>
      <c r="I75" s="36" t="n">
        <f aca="false">IF($B$7="원리금균등",MAX(0,MIN($K$74,ROUND($B$11,0)-$J75)),IF($B$7="원금균등",MIN($K$74,ROUND($B$4/$B$6,0)),IF(54=$B$6,$K$74,0)))</f>
        <v>501893</v>
      </c>
      <c r="J75" s="36" t="n">
        <f aca="false">ROUND($K$74*$B$10,0)</f>
        <v>965159</v>
      </c>
      <c r="K75" s="36" t="n">
        <f aca="false">MAX(0,$K$74-$I75)</f>
        <v>275257807</v>
      </c>
    </row>
    <row r="76" customFormat="false" ht="15" hidden="false" customHeight="false" outlineLevel="0" collapsed="false">
      <c r="A76" s="32" t="n">
        <f aca="false">IF(55&gt;$B$6,"",55)</f>
        <v>55</v>
      </c>
      <c r="B76" s="33" t="n">
        <f aca="false">IF($A76="","",EDATE($B$8,55-1))</f>
        <v>47908</v>
      </c>
      <c r="C76" s="34" t="n">
        <f aca="false">IF($B$7="원리금균등",MAX(0,MIN($G$75,ROUND($B$11,0)-$D76)),IF($B$7="원금균등",MIN($G$75,ROUND($B$4/$B$6,0)),IF(55=$B$6,$G$75,0)))</f>
        <v>503650</v>
      </c>
      <c r="D76" s="34" t="n">
        <f aca="false">ROUND($G$75*$B$10,0)</f>
        <v>963402</v>
      </c>
      <c r="E76" s="34" t="n">
        <f aca="false">IF($A76="",0,$C76+$D76)</f>
        <v>1467052</v>
      </c>
      <c r="F76" s="35"/>
      <c r="G76" s="34" t="n">
        <f aca="false">MAX(0,$G$75-$C76-$F76)</f>
        <v>274754157</v>
      </c>
      <c r="H76" s="32" t="str">
        <f aca="false">IF($B76="","",TEXT($B76,"yyyy-mm"))</f>
        <v>2031-03</v>
      </c>
      <c r="I76" s="36" t="n">
        <f aca="false">IF($B$7="원리금균등",MAX(0,MIN($K$75,ROUND($B$11,0)-$J76)),IF($B$7="원금균등",MIN($K$75,ROUND($B$4/$B$6,0)),IF(55=$B$6,$K$75,0)))</f>
        <v>503650</v>
      </c>
      <c r="J76" s="36" t="n">
        <f aca="false">ROUND($K$75*$B$10,0)</f>
        <v>963402</v>
      </c>
      <c r="K76" s="36" t="n">
        <f aca="false">MAX(0,$K$75-$I76)</f>
        <v>274754157</v>
      </c>
    </row>
    <row r="77" customFormat="false" ht="15" hidden="false" customHeight="false" outlineLevel="0" collapsed="false">
      <c r="A77" s="32" t="n">
        <f aca="false">IF(56&gt;$B$6,"",56)</f>
        <v>56</v>
      </c>
      <c r="B77" s="33" t="n">
        <f aca="false">IF($A77="","",EDATE($B$8,56-1))</f>
        <v>47939</v>
      </c>
      <c r="C77" s="34" t="n">
        <f aca="false">IF($B$7="원리금균등",MAX(0,MIN($G$76,ROUND($B$11,0)-$D77)),IF($B$7="원금균등",MIN($G$76,ROUND($B$4/$B$6,0)),IF(56=$B$6,$G$76,0)))</f>
        <v>505412</v>
      </c>
      <c r="D77" s="34" t="n">
        <f aca="false">ROUND($G$76*$B$10,0)</f>
        <v>961640</v>
      </c>
      <c r="E77" s="34" t="n">
        <f aca="false">IF($A77="",0,$C77+$D77)</f>
        <v>1467052</v>
      </c>
      <c r="F77" s="35"/>
      <c r="G77" s="34" t="n">
        <f aca="false">MAX(0,$G$76-$C77-$F77)</f>
        <v>274248745</v>
      </c>
      <c r="H77" s="32" t="str">
        <f aca="false">IF($B77="","",TEXT($B77,"yyyy-mm"))</f>
        <v>2031-04</v>
      </c>
      <c r="I77" s="36" t="n">
        <f aca="false">IF($B$7="원리금균등",MAX(0,MIN($K$76,ROUND($B$11,0)-$J77)),IF($B$7="원금균등",MIN($K$76,ROUND($B$4/$B$6,0)),IF(56=$B$6,$K$76,0)))</f>
        <v>505412</v>
      </c>
      <c r="J77" s="36" t="n">
        <f aca="false">ROUND($K$76*$B$10,0)</f>
        <v>961640</v>
      </c>
      <c r="K77" s="36" t="n">
        <f aca="false">MAX(0,$K$76-$I77)</f>
        <v>274248745</v>
      </c>
    </row>
    <row r="78" customFormat="false" ht="15" hidden="false" customHeight="false" outlineLevel="0" collapsed="false">
      <c r="A78" s="32" t="n">
        <f aca="false">IF(57&gt;$B$6,"",57)</f>
        <v>57</v>
      </c>
      <c r="B78" s="33" t="n">
        <f aca="false">IF($A78="","",EDATE($B$8,57-1))</f>
        <v>47969</v>
      </c>
      <c r="C78" s="34" t="n">
        <f aca="false">IF($B$7="원리금균등",MAX(0,MIN($G$77,ROUND($B$11,0)-$D78)),IF($B$7="원금균등",MIN($G$77,ROUND($B$4/$B$6,0)),IF(57=$B$6,$G$77,0)))</f>
        <v>507181</v>
      </c>
      <c r="D78" s="34" t="n">
        <f aca="false">ROUND($G$77*$B$10,0)</f>
        <v>959871</v>
      </c>
      <c r="E78" s="34" t="n">
        <f aca="false">IF($A78="",0,$C78+$D78)</f>
        <v>1467052</v>
      </c>
      <c r="F78" s="35"/>
      <c r="G78" s="34" t="n">
        <f aca="false">MAX(0,$G$77-$C78-$F78)</f>
        <v>273741564</v>
      </c>
      <c r="H78" s="32" t="str">
        <f aca="false">IF($B78="","",TEXT($B78,"yyyy-mm"))</f>
        <v>2031-05</v>
      </c>
      <c r="I78" s="36" t="n">
        <f aca="false">IF($B$7="원리금균등",MAX(0,MIN($K$77,ROUND($B$11,0)-$J78)),IF($B$7="원금균등",MIN($K$77,ROUND($B$4/$B$6,0)),IF(57=$B$6,$K$77,0)))</f>
        <v>507181</v>
      </c>
      <c r="J78" s="36" t="n">
        <f aca="false">ROUND($K$77*$B$10,0)</f>
        <v>959871</v>
      </c>
      <c r="K78" s="36" t="n">
        <f aca="false">MAX(0,$K$77-$I78)</f>
        <v>273741564</v>
      </c>
    </row>
    <row r="79" customFormat="false" ht="15" hidden="false" customHeight="false" outlineLevel="0" collapsed="false">
      <c r="A79" s="32" t="n">
        <f aca="false">IF(58&gt;$B$6,"",58)</f>
        <v>58</v>
      </c>
      <c r="B79" s="33" t="n">
        <f aca="false">IF($A79="","",EDATE($B$8,58-1))</f>
        <v>48000</v>
      </c>
      <c r="C79" s="34" t="n">
        <f aca="false">IF($B$7="원리금균등",MAX(0,MIN($G$78,ROUND($B$11,0)-$D79)),IF($B$7="원금균등",MIN($G$78,ROUND($B$4/$B$6,0)),IF(58=$B$6,$G$78,0)))</f>
        <v>508957</v>
      </c>
      <c r="D79" s="34" t="n">
        <f aca="false">ROUND($G$78*$B$10,0)</f>
        <v>958095</v>
      </c>
      <c r="E79" s="34" t="n">
        <f aca="false">IF($A79="",0,$C79+$D79)</f>
        <v>1467052</v>
      </c>
      <c r="F79" s="35"/>
      <c r="G79" s="34" t="n">
        <f aca="false">MAX(0,$G$78-$C79-$F79)</f>
        <v>273232607</v>
      </c>
      <c r="H79" s="32" t="str">
        <f aca="false">IF($B79="","",TEXT($B79,"yyyy-mm"))</f>
        <v>2031-06</v>
      </c>
      <c r="I79" s="36" t="n">
        <f aca="false">IF($B$7="원리금균등",MAX(0,MIN($K$78,ROUND($B$11,0)-$J79)),IF($B$7="원금균등",MIN($K$78,ROUND($B$4/$B$6,0)),IF(58=$B$6,$K$78,0)))</f>
        <v>508957</v>
      </c>
      <c r="J79" s="36" t="n">
        <f aca="false">ROUND($K$78*$B$10,0)</f>
        <v>958095</v>
      </c>
      <c r="K79" s="36" t="n">
        <f aca="false">MAX(0,$K$78-$I79)</f>
        <v>273232607</v>
      </c>
    </row>
    <row r="80" customFormat="false" ht="15" hidden="false" customHeight="false" outlineLevel="0" collapsed="false">
      <c r="A80" s="32" t="n">
        <f aca="false">IF(59&gt;$B$6,"",59)</f>
        <v>59</v>
      </c>
      <c r="B80" s="33" t="n">
        <f aca="false">IF($A80="","",EDATE($B$8,59-1))</f>
        <v>48030</v>
      </c>
      <c r="C80" s="34" t="n">
        <f aca="false">IF($B$7="원리금균등",MAX(0,MIN($G$79,ROUND($B$11,0)-$D80)),IF($B$7="원금균등",MIN($G$79,ROUND($B$4/$B$6,0)),IF(59=$B$6,$G$79,0)))</f>
        <v>510738</v>
      </c>
      <c r="D80" s="34" t="n">
        <f aca="false">ROUND($G$79*$B$10,0)</f>
        <v>956314</v>
      </c>
      <c r="E80" s="34" t="n">
        <f aca="false">IF($A80="",0,$C80+$D80)</f>
        <v>1467052</v>
      </c>
      <c r="F80" s="35"/>
      <c r="G80" s="34" t="n">
        <f aca="false">MAX(0,$G$79-$C80-$F80)</f>
        <v>272721869</v>
      </c>
      <c r="H80" s="32" t="str">
        <f aca="false">IF($B80="","",TEXT($B80,"yyyy-mm"))</f>
        <v>2031-07</v>
      </c>
      <c r="I80" s="36" t="n">
        <f aca="false">IF($B$7="원리금균등",MAX(0,MIN($K$79,ROUND($B$11,0)-$J80)),IF($B$7="원금균등",MIN($K$79,ROUND($B$4/$B$6,0)),IF(59=$B$6,$K$79,0)))</f>
        <v>510738</v>
      </c>
      <c r="J80" s="36" t="n">
        <f aca="false">ROUND($K$79*$B$10,0)</f>
        <v>956314</v>
      </c>
      <c r="K80" s="36" t="n">
        <f aca="false">MAX(0,$K$79-$I80)</f>
        <v>272721869</v>
      </c>
    </row>
    <row r="81" customFormat="false" ht="15" hidden="false" customHeight="false" outlineLevel="0" collapsed="false">
      <c r="A81" s="32" t="n">
        <f aca="false">IF(60&gt;$B$6,"",60)</f>
        <v>60</v>
      </c>
      <c r="B81" s="33" t="n">
        <f aca="false">IF($A81="","",EDATE($B$8,60-1))</f>
        <v>48061</v>
      </c>
      <c r="C81" s="34" t="n">
        <f aca="false">IF($B$7="원리금균등",MAX(0,MIN($G$80,ROUND($B$11,0)-$D81)),IF($B$7="원금균등",MIN($G$80,ROUND($B$4/$B$6,0)),IF(60=$B$6,$G$80,0)))</f>
        <v>512525</v>
      </c>
      <c r="D81" s="34" t="n">
        <f aca="false">ROUND($G$80*$B$10,0)</f>
        <v>954527</v>
      </c>
      <c r="E81" s="34" t="n">
        <f aca="false">IF($A81="",0,$C81+$D81)</f>
        <v>1467052</v>
      </c>
      <c r="F81" s="35"/>
      <c r="G81" s="34" t="n">
        <f aca="false">MAX(0,$G$80-$C81-$F81)</f>
        <v>272209344</v>
      </c>
      <c r="H81" s="32" t="str">
        <f aca="false">IF($B81="","",TEXT($B81,"yyyy-mm"))</f>
        <v>2031-08</v>
      </c>
      <c r="I81" s="36" t="n">
        <f aca="false">IF($B$7="원리금균등",MAX(0,MIN($K$80,ROUND($B$11,0)-$J81)),IF($B$7="원금균등",MIN($K$80,ROUND($B$4/$B$6,0)),IF(60=$B$6,$K$80,0)))</f>
        <v>512525</v>
      </c>
      <c r="J81" s="36" t="n">
        <f aca="false">ROUND($K$80*$B$10,0)</f>
        <v>954527</v>
      </c>
      <c r="K81" s="36" t="n">
        <f aca="false">MAX(0,$K$80-$I81)</f>
        <v>272209344</v>
      </c>
    </row>
    <row r="82" customFormat="false" ht="15" hidden="false" customHeight="false" outlineLevel="0" collapsed="false">
      <c r="A82" s="32" t="n">
        <f aca="false">IF(61&gt;$B$6,"",61)</f>
        <v>61</v>
      </c>
      <c r="B82" s="33" t="n">
        <f aca="false">IF($A82="","",EDATE($B$8,61-1))</f>
        <v>48092</v>
      </c>
      <c r="C82" s="34" t="n">
        <f aca="false">IF($B$7="원리금균등",MAX(0,MIN($G$81,ROUND($B$11,0)-$D82)),IF($B$7="원금균등",MIN($G$81,ROUND($B$4/$B$6,0)),IF(61=$B$6,$G$81,0)))</f>
        <v>514319</v>
      </c>
      <c r="D82" s="34" t="n">
        <f aca="false">ROUND($G$81*$B$10,0)</f>
        <v>952733</v>
      </c>
      <c r="E82" s="34" t="n">
        <f aca="false">IF($A82="",0,$C82+$D82)</f>
        <v>1467052</v>
      </c>
      <c r="F82" s="35"/>
      <c r="G82" s="34" t="n">
        <f aca="false">MAX(0,$G$81-$C82-$F82)</f>
        <v>271695025</v>
      </c>
      <c r="H82" s="32" t="str">
        <f aca="false">IF($B82="","",TEXT($B82,"yyyy-mm"))</f>
        <v>2031-09</v>
      </c>
      <c r="I82" s="36" t="n">
        <f aca="false">IF($B$7="원리금균등",MAX(0,MIN($K$81,ROUND($B$11,0)-$J82)),IF($B$7="원금균등",MIN($K$81,ROUND($B$4/$B$6,0)),IF(61=$B$6,$K$81,0)))</f>
        <v>514319</v>
      </c>
      <c r="J82" s="36" t="n">
        <f aca="false">ROUND($K$81*$B$10,0)</f>
        <v>952733</v>
      </c>
      <c r="K82" s="36" t="n">
        <f aca="false">MAX(0,$K$81-$I82)</f>
        <v>271695025</v>
      </c>
    </row>
    <row r="83" customFormat="false" ht="15" hidden="false" customHeight="false" outlineLevel="0" collapsed="false">
      <c r="A83" s="32" t="n">
        <f aca="false">IF(62&gt;$B$6,"",62)</f>
        <v>62</v>
      </c>
      <c r="B83" s="33" t="n">
        <f aca="false">IF($A83="","",EDATE($B$8,62-1))</f>
        <v>48122</v>
      </c>
      <c r="C83" s="34" t="n">
        <f aca="false">IF($B$7="원리금균등",MAX(0,MIN($G$82,ROUND($B$11,0)-$D83)),IF($B$7="원금균등",MIN($G$82,ROUND($B$4/$B$6,0)),IF(62=$B$6,$G$82,0)))</f>
        <v>516119</v>
      </c>
      <c r="D83" s="34" t="n">
        <f aca="false">ROUND($G$82*$B$10,0)</f>
        <v>950933</v>
      </c>
      <c r="E83" s="34" t="n">
        <f aca="false">IF($A83="",0,$C83+$D83)</f>
        <v>1467052</v>
      </c>
      <c r="F83" s="35"/>
      <c r="G83" s="34" t="n">
        <f aca="false">MAX(0,$G$82-$C83-$F83)</f>
        <v>271178906</v>
      </c>
      <c r="H83" s="32" t="str">
        <f aca="false">IF($B83="","",TEXT($B83,"yyyy-mm"))</f>
        <v>2031-10</v>
      </c>
      <c r="I83" s="36" t="n">
        <f aca="false">IF($B$7="원리금균등",MAX(0,MIN($K$82,ROUND($B$11,0)-$J83)),IF($B$7="원금균등",MIN($K$82,ROUND($B$4/$B$6,0)),IF(62=$B$6,$K$82,0)))</f>
        <v>516119</v>
      </c>
      <c r="J83" s="36" t="n">
        <f aca="false">ROUND($K$82*$B$10,0)</f>
        <v>950933</v>
      </c>
      <c r="K83" s="36" t="n">
        <f aca="false">MAX(0,$K$82-$I83)</f>
        <v>271178906</v>
      </c>
    </row>
    <row r="84" customFormat="false" ht="15" hidden="false" customHeight="false" outlineLevel="0" collapsed="false">
      <c r="A84" s="32" t="n">
        <f aca="false">IF(63&gt;$B$6,"",63)</f>
        <v>63</v>
      </c>
      <c r="B84" s="33" t="n">
        <f aca="false">IF($A84="","",EDATE($B$8,63-1))</f>
        <v>48153</v>
      </c>
      <c r="C84" s="34" t="n">
        <f aca="false">IF($B$7="원리금균등",MAX(0,MIN($G$83,ROUND($B$11,0)-$D84)),IF($B$7="원금균등",MIN($G$83,ROUND($B$4/$B$6,0)),IF(63=$B$6,$G$83,0)))</f>
        <v>517926</v>
      </c>
      <c r="D84" s="34" t="n">
        <f aca="false">ROUND($G$83*$B$10,0)</f>
        <v>949126</v>
      </c>
      <c r="E84" s="34" t="n">
        <f aca="false">IF($A84="",0,$C84+$D84)</f>
        <v>1467052</v>
      </c>
      <c r="F84" s="35"/>
      <c r="G84" s="34" t="n">
        <f aca="false">MAX(0,$G$83-$C84-$F84)</f>
        <v>270660980</v>
      </c>
      <c r="H84" s="32" t="str">
        <f aca="false">IF($B84="","",TEXT($B84,"yyyy-mm"))</f>
        <v>2031-11</v>
      </c>
      <c r="I84" s="36" t="n">
        <f aca="false">IF($B$7="원리금균등",MAX(0,MIN($K$83,ROUND($B$11,0)-$J84)),IF($B$7="원금균등",MIN($K$83,ROUND($B$4/$B$6,0)),IF(63=$B$6,$K$83,0)))</f>
        <v>517926</v>
      </c>
      <c r="J84" s="36" t="n">
        <f aca="false">ROUND($K$83*$B$10,0)</f>
        <v>949126</v>
      </c>
      <c r="K84" s="36" t="n">
        <f aca="false">MAX(0,$K$83-$I84)</f>
        <v>270660980</v>
      </c>
    </row>
    <row r="85" customFormat="false" ht="15" hidden="false" customHeight="false" outlineLevel="0" collapsed="false">
      <c r="A85" s="32" t="n">
        <f aca="false">IF(64&gt;$B$6,"",64)</f>
        <v>64</v>
      </c>
      <c r="B85" s="33" t="n">
        <f aca="false">IF($A85="","",EDATE($B$8,64-1))</f>
        <v>48183</v>
      </c>
      <c r="C85" s="34" t="n">
        <f aca="false">IF($B$7="원리금균등",MAX(0,MIN($G$84,ROUND($B$11,0)-$D85)),IF($B$7="원금균등",MIN($G$84,ROUND($B$4/$B$6,0)),IF(64=$B$6,$G$84,0)))</f>
        <v>519739</v>
      </c>
      <c r="D85" s="34" t="n">
        <f aca="false">ROUND($G$84*$B$10,0)</f>
        <v>947313</v>
      </c>
      <c r="E85" s="34" t="n">
        <f aca="false">IF($A85="",0,$C85+$D85)</f>
        <v>1467052</v>
      </c>
      <c r="F85" s="35"/>
      <c r="G85" s="34" t="n">
        <f aca="false">MAX(0,$G$84-$C85-$F85)</f>
        <v>270141241</v>
      </c>
      <c r="H85" s="32" t="str">
        <f aca="false">IF($B85="","",TEXT($B85,"yyyy-mm"))</f>
        <v>2031-12</v>
      </c>
      <c r="I85" s="36" t="n">
        <f aca="false">IF($B$7="원리금균등",MAX(0,MIN($K$84,ROUND($B$11,0)-$J85)),IF($B$7="원금균등",MIN($K$84,ROUND($B$4/$B$6,0)),IF(64=$B$6,$K$84,0)))</f>
        <v>519739</v>
      </c>
      <c r="J85" s="36" t="n">
        <f aca="false">ROUND($K$84*$B$10,0)</f>
        <v>947313</v>
      </c>
      <c r="K85" s="36" t="n">
        <f aca="false">MAX(0,$K$84-$I85)</f>
        <v>270141241</v>
      </c>
    </row>
    <row r="86" customFormat="false" ht="15" hidden="false" customHeight="false" outlineLevel="0" collapsed="false">
      <c r="A86" s="32" t="n">
        <f aca="false">IF(65&gt;$B$6,"",65)</f>
        <v>65</v>
      </c>
      <c r="B86" s="33" t="n">
        <f aca="false">IF($A86="","",EDATE($B$8,65-1))</f>
        <v>48214</v>
      </c>
      <c r="C86" s="34" t="n">
        <f aca="false">IF($B$7="원리금균등",MAX(0,MIN($G$85,ROUND($B$11,0)-$D86)),IF($B$7="원금균등",MIN($G$85,ROUND($B$4/$B$6,0)),IF(65=$B$6,$G$85,0)))</f>
        <v>521558</v>
      </c>
      <c r="D86" s="34" t="n">
        <f aca="false">ROUND($G$85*$B$10,0)</f>
        <v>945494</v>
      </c>
      <c r="E86" s="34" t="n">
        <f aca="false">IF($A86="",0,$C86+$D86)</f>
        <v>1467052</v>
      </c>
      <c r="F86" s="35"/>
      <c r="G86" s="34" t="n">
        <f aca="false">MAX(0,$G$85-$C86-$F86)</f>
        <v>269619683</v>
      </c>
      <c r="H86" s="32" t="str">
        <f aca="false">IF($B86="","",TEXT($B86,"yyyy-mm"))</f>
        <v>2032-01</v>
      </c>
      <c r="I86" s="36" t="n">
        <f aca="false">IF($B$7="원리금균등",MAX(0,MIN($K$85,ROUND($B$11,0)-$J86)),IF($B$7="원금균등",MIN($K$85,ROUND($B$4/$B$6,0)),IF(65=$B$6,$K$85,0)))</f>
        <v>521558</v>
      </c>
      <c r="J86" s="36" t="n">
        <f aca="false">ROUND($K$85*$B$10,0)</f>
        <v>945494</v>
      </c>
      <c r="K86" s="36" t="n">
        <f aca="false">MAX(0,$K$85-$I86)</f>
        <v>269619683</v>
      </c>
    </row>
    <row r="87" customFormat="false" ht="15" hidden="false" customHeight="false" outlineLevel="0" collapsed="false">
      <c r="A87" s="32" t="n">
        <f aca="false">IF(66&gt;$B$6,"",66)</f>
        <v>66</v>
      </c>
      <c r="B87" s="33" t="n">
        <f aca="false">IF($A87="","",EDATE($B$8,66-1))</f>
        <v>48245</v>
      </c>
      <c r="C87" s="34" t="n">
        <f aca="false">IF($B$7="원리금균등",MAX(0,MIN($G$86,ROUND($B$11,0)-$D87)),IF($B$7="원금균등",MIN($G$86,ROUND($B$4/$B$6,0)),IF(66=$B$6,$G$86,0)))</f>
        <v>523383</v>
      </c>
      <c r="D87" s="34" t="n">
        <f aca="false">ROUND($G$86*$B$10,0)</f>
        <v>943669</v>
      </c>
      <c r="E87" s="34" t="n">
        <f aca="false">IF($A87="",0,$C87+$D87)</f>
        <v>1467052</v>
      </c>
      <c r="F87" s="35"/>
      <c r="G87" s="34" t="n">
        <f aca="false">MAX(0,$G$86-$C87-$F87)</f>
        <v>269096300</v>
      </c>
      <c r="H87" s="32" t="str">
        <f aca="false">IF($B87="","",TEXT($B87,"yyyy-mm"))</f>
        <v>2032-02</v>
      </c>
      <c r="I87" s="36" t="n">
        <f aca="false">IF($B$7="원리금균등",MAX(0,MIN($K$86,ROUND($B$11,0)-$J87)),IF($B$7="원금균등",MIN($K$86,ROUND($B$4/$B$6,0)),IF(66=$B$6,$K$86,0)))</f>
        <v>523383</v>
      </c>
      <c r="J87" s="36" t="n">
        <f aca="false">ROUND($K$86*$B$10,0)</f>
        <v>943669</v>
      </c>
      <c r="K87" s="36" t="n">
        <f aca="false">MAX(0,$K$86-$I87)</f>
        <v>269096300</v>
      </c>
    </row>
    <row r="88" customFormat="false" ht="15" hidden="false" customHeight="false" outlineLevel="0" collapsed="false">
      <c r="A88" s="32" t="n">
        <f aca="false">IF(67&gt;$B$6,"",67)</f>
        <v>67</v>
      </c>
      <c r="B88" s="33" t="n">
        <f aca="false">IF($A88="","",EDATE($B$8,67-1))</f>
        <v>48274</v>
      </c>
      <c r="C88" s="34" t="n">
        <f aca="false">IF($B$7="원리금균등",MAX(0,MIN($G$87,ROUND($B$11,0)-$D88)),IF($B$7="원금균등",MIN($G$87,ROUND($B$4/$B$6,0)),IF(67=$B$6,$G$87,0)))</f>
        <v>525215</v>
      </c>
      <c r="D88" s="34" t="n">
        <f aca="false">ROUND($G$87*$B$10,0)</f>
        <v>941837</v>
      </c>
      <c r="E88" s="34" t="n">
        <f aca="false">IF($A88="",0,$C88+$D88)</f>
        <v>1467052</v>
      </c>
      <c r="F88" s="35"/>
      <c r="G88" s="34" t="n">
        <f aca="false">MAX(0,$G$87-$C88-$F88)</f>
        <v>268571085</v>
      </c>
      <c r="H88" s="32" t="str">
        <f aca="false">IF($B88="","",TEXT($B88,"yyyy-mm"))</f>
        <v>2032-03</v>
      </c>
      <c r="I88" s="36" t="n">
        <f aca="false">IF($B$7="원리금균등",MAX(0,MIN($K$87,ROUND($B$11,0)-$J88)),IF($B$7="원금균등",MIN($K$87,ROUND($B$4/$B$6,0)),IF(67=$B$6,$K$87,0)))</f>
        <v>525215</v>
      </c>
      <c r="J88" s="36" t="n">
        <f aca="false">ROUND($K$87*$B$10,0)</f>
        <v>941837</v>
      </c>
      <c r="K88" s="36" t="n">
        <f aca="false">MAX(0,$K$87-$I88)</f>
        <v>268571085</v>
      </c>
    </row>
    <row r="89" customFormat="false" ht="15" hidden="false" customHeight="false" outlineLevel="0" collapsed="false">
      <c r="A89" s="32" t="n">
        <f aca="false">IF(68&gt;$B$6,"",68)</f>
        <v>68</v>
      </c>
      <c r="B89" s="33" t="n">
        <f aca="false">IF($A89="","",EDATE($B$8,68-1))</f>
        <v>48305</v>
      </c>
      <c r="C89" s="34" t="n">
        <f aca="false">IF($B$7="원리금균등",MAX(0,MIN($G$88,ROUND($B$11,0)-$D89)),IF($B$7="원금균등",MIN($G$88,ROUND($B$4/$B$6,0)),IF(68=$B$6,$G$88,0)))</f>
        <v>527053</v>
      </c>
      <c r="D89" s="34" t="n">
        <f aca="false">ROUND($G$88*$B$10,0)</f>
        <v>939999</v>
      </c>
      <c r="E89" s="34" t="n">
        <f aca="false">IF($A89="",0,$C89+$D89)</f>
        <v>1467052</v>
      </c>
      <c r="F89" s="35"/>
      <c r="G89" s="34" t="n">
        <f aca="false">MAX(0,$G$88-$C89-$F89)</f>
        <v>268044032</v>
      </c>
      <c r="H89" s="32" t="str">
        <f aca="false">IF($B89="","",TEXT($B89,"yyyy-mm"))</f>
        <v>2032-04</v>
      </c>
      <c r="I89" s="36" t="n">
        <f aca="false">IF($B$7="원리금균등",MAX(0,MIN($K$88,ROUND($B$11,0)-$J89)),IF($B$7="원금균등",MIN($K$88,ROUND($B$4/$B$6,0)),IF(68=$B$6,$K$88,0)))</f>
        <v>527053</v>
      </c>
      <c r="J89" s="36" t="n">
        <f aca="false">ROUND($K$88*$B$10,0)</f>
        <v>939999</v>
      </c>
      <c r="K89" s="36" t="n">
        <f aca="false">MAX(0,$K$88-$I89)</f>
        <v>268044032</v>
      </c>
    </row>
    <row r="90" customFormat="false" ht="15" hidden="false" customHeight="false" outlineLevel="0" collapsed="false">
      <c r="A90" s="32" t="n">
        <f aca="false">IF(69&gt;$B$6,"",69)</f>
        <v>69</v>
      </c>
      <c r="B90" s="33" t="n">
        <f aca="false">IF($A90="","",EDATE($B$8,69-1))</f>
        <v>48335</v>
      </c>
      <c r="C90" s="34" t="n">
        <f aca="false">IF($B$7="원리금균등",MAX(0,MIN($G$89,ROUND($B$11,0)-$D90)),IF($B$7="원금균등",MIN($G$89,ROUND($B$4/$B$6,0)),IF(69=$B$6,$G$89,0)))</f>
        <v>528898</v>
      </c>
      <c r="D90" s="34" t="n">
        <f aca="false">ROUND($G$89*$B$10,0)</f>
        <v>938154</v>
      </c>
      <c r="E90" s="34" t="n">
        <f aca="false">IF($A90="",0,$C90+$D90)</f>
        <v>1467052</v>
      </c>
      <c r="F90" s="35"/>
      <c r="G90" s="34" t="n">
        <f aca="false">MAX(0,$G$89-$C90-$F90)</f>
        <v>267515134</v>
      </c>
      <c r="H90" s="32" t="str">
        <f aca="false">IF($B90="","",TEXT($B90,"yyyy-mm"))</f>
        <v>2032-05</v>
      </c>
      <c r="I90" s="36" t="n">
        <f aca="false">IF($B$7="원리금균등",MAX(0,MIN($K$89,ROUND($B$11,0)-$J90)),IF($B$7="원금균등",MIN($K$89,ROUND($B$4/$B$6,0)),IF(69=$B$6,$K$89,0)))</f>
        <v>528898</v>
      </c>
      <c r="J90" s="36" t="n">
        <f aca="false">ROUND($K$89*$B$10,0)</f>
        <v>938154</v>
      </c>
      <c r="K90" s="36" t="n">
        <f aca="false">MAX(0,$K$89-$I90)</f>
        <v>267515134</v>
      </c>
    </row>
    <row r="91" customFormat="false" ht="15" hidden="false" customHeight="false" outlineLevel="0" collapsed="false">
      <c r="A91" s="32" t="n">
        <f aca="false">IF(70&gt;$B$6,"",70)</f>
        <v>70</v>
      </c>
      <c r="B91" s="33" t="n">
        <f aca="false">IF($A91="","",EDATE($B$8,70-1))</f>
        <v>48366</v>
      </c>
      <c r="C91" s="34" t="n">
        <f aca="false">IF($B$7="원리금균등",MAX(0,MIN($G$90,ROUND($B$11,0)-$D91)),IF($B$7="원금균등",MIN($G$90,ROUND($B$4/$B$6,0)),IF(70=$B$6,$G$90,0)))</f>
        <v>530749</v>
      </c>
      <c r="D91" s="34" t="n">
        <f aca="false">ROUND($G$90*$B$10,0)</f>
        <v>936303</v>
      </c>
      <c r="E91" s="34" t="n">
        <f aca="false">IF($A91="",0,$C91+$D91)</f>
        <v>1467052</v>
      </c>
      <c r="F91" s="35"/>
      <c r="G91" s="34" t="n">
        <f aca="false">MAX(0,$G$90-$C91-$F91)</f>
        <v>266984385</v>
      </c>
      <c r="H91" s="32" t="str">
        <f aca="false">IF($B91="","",TEXT($B91,"yyyy-mm"))</f>
        <v>2032-06</v>
      </c>
      <c r="I91" s="36" t="n">
        <f aca="false">IF($B$7="원리금균등",MAX(0,MIN($K$90,ROUND($B$11,0)-$J91)),IF($B$7="원금균등",MIN($K$90,ROUND($B$4/$B$6,0)),IF(70=$B$6,$K$90,0)))</f>
        <v>530749</v>
      </c>
      <c r="J91" s="36" t="n">
        <f aca="false">ROUND($K$90*$B$10,0)</f>
        <v>936303</v>
      </c>
      <c r="K91" s="36" t="n">
        <f aca="false">MAX(0,$K$90-$I91)</f>
        <v>266984385</v>
      </c>
    </row>
    <row r="92" customFormat="false" ht="15" hidden="false" customHeight="false" outlineLevel="0" collapsed="false">
      <c r="A92" s="32" t="n">
        <f aca="false">IF(71&gt;$B$6,"",71)</f>
        <v>71</v>
      </c>
      <c r="B92" s="33" t="n">
        <f aca="false">IF($A92="","",EDATE($B$8,71-1))</f>
        <v>48396</v>
      </c>
      <c r="C92" s="34" t="n">
        <f aca="false">IF($B$7="원리금균등",MAX(0,MIN($G$91,ROUND($B$11,0)-$D92)),IF($B$7="원금균등",MIN($G$91,ROUND($B$4/$B$6,0)),IF(71=$B$6,$G$91,0)))</f>
        <v>532607</v>
      </c>
      <c r="D92" s="34" t="n">
        <f aca="false">ROUND($G$91*$B$10,0)</f>
        <v>934445</v>
      </c>
      <c r="E92" s="34" t="n">
        <f aca="false">IF($A92="",0,$C92+$D92)</f>
        <v>1467052</v>
      </c>
      <c r="F92" s="35"/>
      <c r="G92" s="34" t="n">
        <f aca="false">MAX(0,$G$91-$C92-$F92)</f>
        <v>266451778</v>
      </c>
      <c r="H92" s="32" t="str">
        <f aca="false">IF($B92="","",TEXT($B92,"yyyy-mm"))</f>
        <v>2032-07</v>
      </c>
      <c r="I92" s="36" t="n">
        <f aca="false">IF($B$7="원리금균등",MAX(0,MIN($K$91,ROUND($B$11,0)-$J92)),IF($B$7="원금균등",MIN($K$91,ROUND($B$4/$B$6,0)),IF(71=$B$6,$K$91,0)))</f>
        <v>532607</v>
      </c>
      <c r="J92" s="36" t="n">
        <f aca="false">ROUND($K$91*$B$10,0)</f>
        <v>934445</v>
      </c>
      <c r="K92" s="36" t="n">
        <f aca="false">MAX(0,$K$91-$I92)</f>
        <v>266451778</v>
      </c>
    </row>
    <row r="93" customFormat="false" ht="15" hidden="false" customHeight="false" outlineLevel="0" collapsed="false">
      <c r="A93" s="32" t="n">
        <f aca="false">IF(72&gt;$B$6,"",72)</f>
        <v>72</v>
      </c>
      <c r="B93" s="33" t="n">
        <f aca="false">IF($A93="","",EDATE($B$8,72-1))</f>
        <v>48427</v>
      </c>
      <c r="C93" s="34" t="n">
        <f aca="false">IF($B$7="원리금균등",MAX(0,MIN($G$92,ROUND($B$11,0)-$D93)),IF($B$7="원금균등",MIN($G$92,ROUND($B$4/$B$6,0)),IF(72=$B$6,$G$92,0)))</f>
        <v>534471</v>
      </c>
      <c r="D93" s="34" t="n">
        <f aca="false">ROUND($G$92*$B$10,0)</f>
        <v>932581</v>
      </c>
      <c r="E93" s="34" t="n">
        <f aca="false">IF($A93="",0,$C93+$D93)</f>
        <v>1467052</v>
      </c>
      <c r="F93" s="35"/>
      <c r="G93" s="34" t="n">
        <f aca="false">MAX(0,$G$92-$C93-$F93)</f>
        <v>265917307</v>
      </c>
      <c r="H93" s="32" t="str">
        <f aca="false">IF($B93="","",TEXT($B93,"yyyy-mm"))</f>
        <v>2032-08</v>
      </c>
      <c r="I93" s="36" t="n">
        <f aca="false">IF($B$7="원리금균등",MAX(0,MIN($K$92,ROUND($B$11,0)-$J93)),IF($B$7="원금균등",MIN($K$92,ROUND($B$4/$B$6,0)),IF(72=$B$6,$K$92,0)))</f>
        <v>534471</v>
      </c>
      <c r="J93" s="36" t="n">
        <f aca="false">ROUND($K$92*$B$10,0)</f>
        <v>932581</v>
      </c>
      <c r="K93" s="36" t="n">
        <f aca="false">MAX(0,$K$92-$I93)</f>
        <v>265917307</v>
      </c>
    </row>
    <row r="94" customFormat="false" ht="15" hidden="false" customHeight="false" outlineLevel="0" collapsed="false">
      <c r="A94" s="32" t="n">
        <f aca="false">IF(73&gt;$B$6,"",73)</f>
        <v>73</v>
      </c>
      <c r="B94" s="33" t="n">
        <f aca="false">IF($A94="","",EDATE($B$8,73-1))</f>
        <v>48458</v>
      </c>
      <c r="C94" s="34" t="n">
        <f aca="false">IF($B$7="원리금균등",MAX(0,MIN($G$93,ROUND($B$11,0)-$D94)),IF($B$7="원금균등",MIN($G$93,ROUND($B$4/$B$6,0)),IF(73=$B$6,$G$93,0)))</f>
        <v>536341</v>
      </c>
      <c r="D94" s="34" t="n">
        <f aca="false">ROUND($G$93*$B$10,0)</f>
        <v>930711</v>
      </c>
      <c r="E94" s="34" t="n">
        <f aca="false">IF($A94="",0,$C94+$D94)</f>
        <v>1467052</v>
      </c>
      <c r="F94" s="35"/>
      <c r="G94" s="34" t="n">
        <f aca="false">MAX(0,$G$93-$C94-$F94)</f>
        <v>265380966</v>
      </c>
      <c r="H94" s="32" t="str">
        <f aca="false">IF($B94="","",TEXT($B94,"yyyy-mm"))</f>
        <v>2032-09</v>
      </c>
      <c r="I94" s="36" t="n">
        <f aca="false">IF($B$7="원리금균등",MAX(0,MIN($K$93,ROUND($B$11,0)-$J94)),IF($B$7="원금균등",MIN($K$93,ROUND($B$4/$B$6,0)),IF(73=$B$6,$K$93,0)))</f>
        <v>536341</v>
      </c>
      <c r="J94" s="36" t="n">
        <f aca="false">ROUND($K$93*$B$10,0)</f>
        <v>930711</v>
      </c>
      <c r="K94" s="36" t="n">
        <f aca="false">MAX(0,$K$93-$I94)</f>
        <v>265380966</v>
      </c>
    </row>
    <row r="95" customFormat="false" ht="15" hidden="false" customHeight="false" outlineLevel="0" collapsed="false">
      <c r="A95" s="32" t="n">
        <f aca="false">IF(74&gt;$B$6,"",74)</f>
        <v>74</v>
      </c>
      <c r="B95" s="33" t="n">
        <f aca="false">IF($A95="","",EDATE($B$8,74-1))</f>
        <v>48488</v>
      </c>
      <c r="C95" s="34" t="n">
        <f aca="false">IF($B$7="원리금균등",MAX(0,MIN($G$94,ROUND($B$11,0)-$D95)),IF($B$7="원금균등",MIN($G$94,ROUND($B$4/$B$6,0)),IF(74=$B$6,$G$94,0)))</f>
        <v>538219</v>
      </c>
      <c r="D95" s="34" t="n">
        <f aca="false">ROUND($G$94*$B$10,0)</f>
        <v>928833</v>
      </c>
      <c r="E95" s="34" t="n">
        <f aca="false">IF($A95="",0,$C95+$D95)</f>
        <v>1467052</v>
      </c>
      <c r="F95" s="35"/>
      <c r="G95" s="34" t="n">
        <f aca="false">MAX(0,$G$94-$C95-$F95)</f>
        <v>264842747</v>
      </c>
      <c r="H95" s="32" t="str">
        <f aca="false">IF($B95="","",TEXT($B95,"yyyy-mm"))</f>
        <v>2032-10</v>
      </c>
      <c r="I95" s="36" t="n">
        <f aca="false">IF($B$7="원리금균등",MAX(0,MIN($K$94,ROUND($B$11,0)-$J95)),IF($B$7="원금균등",MIN($K$94,ROUND($B$4/$B$6,0)),IF(74=$B$6,$K$94,0)))</f>
        <v>538219</v>
      </c>
      <c r="J95" s="36" t="n">
        <f aca="false">ROUND($K$94*$B$10,0)</f>
        <v>928833</v>
      </c>
      <c r="K95" s="36" t="n">
        <f aca="false">MAX(0,$K$94-$I95)</f>
        <v>264842747</v>
      </c>
    </row>
    <row r="96" customFormat="false" ht="15" hidden="false" customHeight="false" outlineLevel="0" collapsed="false">
      <c r="A96" s="32" t="n">
        <f aca="false">IF(75&gt;$B$6,"",75)</f>
        <v>75</v>
      </c>
      <c r="B96" s="33" t="n">
        <f aca="false">IF($A96="","",EDATE($B$8,75-1))</f>
        <v>48519</v>
      </c>
      <c r="C96" s="34" t="n">
        <f aca="false">IF($B$7="원리금균등",MAX(0,MIN($G$95,ROUND($B$11,0)-$D96)),IF($B$7="원금균등",MIN($G$95,ROUND($B$4/$B$6,0)),IF(75=$B$6,$G$95,0)))</f>
        <v>540102</v>
      </c>
      <c r="D96" s="34" t="n">
        <f aca="false">ROUND($G$95*$B$10,0)</f>
        <v>926950</v>
      </c>
      <c r="E96" s="34" t="n">
        <f aca="false">IF($A96="",0,$C96+$D96)</f>
        <v>1467052</v>
      </c>
      <c r="F96" s="35"/>
      <c r="G96" s="34" t="n">
        <f aca="false">MAX(0,$G$95-$C96-$F96)</f>
        <v>264302645</v>
      </c>
      <c r="H96" s="32" t="str">
        <f aca="false">IF($B96="","",TEXT($B96,"yyyy-mm"))</f>
        <v>2032-11</v>
      </c>
      <c r="I96" s="36" t="n">
        <f aca="false">IF($B$7="원리금균등",MAX(0,MIN($K$95,ROUND($B$11,0)-$J96)),IF($B$7="원금균등",MIN($K$95,ROUND($B$4/$B$6,0)),IF(75=$B$6,$K$95,0)))</f>
        <v>540102</v>
      </c>
      <c r="J96" s="36" t="n">
        <f aca="false">ROUND($K$95*$B$10,0)</f>
        <v>926950</v>
      </c>
      <c r="K96" s="36" t="n">
        <f aca="false">MAX(0,$K$95-$I96)</f>
        <v>264302645</v>
      </c>
    </row>
    <row r="97" customFormat="false" ht="15" hidden="false" customHeight="false" outlineLevel="0" collapsed="false">
      <c r="A97" s="32" t="n">
        <f aca="false">IF(76&gt;$B$6,"",76)</f>
        <v>76</v>
      </c>
      <c r="B97" s="33" t="n">
        <f aca="false">IF($A97="","",EDATE($B$8,76-1))</f>
        <v>48549</v>
      </c>
      <c r="C97" s="34" t="n">
        <f aca="false">IF($B$7="원리금균등",MAX(0,MIN($G$96,ROUND($B$11,0)-$D97)),IF($B$7="원금균등",MIN($G$96,ROUND($B$4/$B$6,0)),IF(76=$B$6,$G$96,0)))</f>
        <v>541993</v>
      </c>
      <c r="D97" s="34" t="n">
        <f aca="false">ROUND($G$96*$B$10,0)</f>
        <v>925059</v>
      </c>
      <c r="E97" s="34" t="n">
        <f aca="false">IF($A97="",0,$C97+$D97)</f>
        <v>1467052</v>
      </c>
      <c r="F97" s="35"/>
      <c r="G97" s="34" t="n">
        <f aca="false">MAX(0,$G$96-$C97-$F97)</f>
        <v>263760652</v>
      </c>
      <c r="H97" s="32" t="str">
        <f aca="false">IF($B97="","",TEXT($B97,"yyyy-mm"))</f>
        <v>2032-12</v>
      </c>
      <c r="I97" s="36" t="n">
        <f aca="false">IF($B$7="원리금균등",MAX(0,MIN($K$96,ROUND($B$11,0)-$J97)),IF($B$7="원금균등",MIN($K$96,ROUND($B$4/$B$6,0)),IF(76=$B$6,$K$96,0)))</f>
        <v>541993</v>
      </c>
      <c r="J97" s="36" t="n">
        <f aca="false">ROUND($K$96*$B$10,0)</f>
        <v>925059</v>
      </c>
      <c r="K97" s="36" t="n">
        <f aca="false">MAX(0,$K$96-$I97)</f>
        <v>263760652</v>
      </c>
    </row>
    <row r="98" customFormat="false" ht="15" hidden="false" customHeight="false" outlineLevel="0" collapsed="false">
      <c r="A98" s="32" t="n">
        <f aca="false">IF(77&gt;$B$6,"",77)</f>
        <v>77</v>
      </c>
      <c r="B98" s="33" t="n">
        <f aca="false">IF($A98="","",EDATE($B$8,77-1))</f>
        <v>48580</v>
      </c>
      <c r="C98" s="34" t="n">
        <f aca="false">IF($B$7="원리금균등",MAX(0,MIN($G$97,ROUND($B$11,0)-$D98)),IF($B$7="원금균등",MIN($G$97,ROUND($B$4/$B$6,0)),IF(77=$B$6,$G$97,0)))</f>
        <v>543890</v>
      </c>
      <c r="D98" s="34" t="n">
        <f aca="false">ROUND($G$97*$B$10,0)</f>
        <v>923162</v>
      </c>
      <c r="E98" s="34" t="n">
        <f aca="false">IF($A98="",0,$C98+$D98)</f>
        <v>1467052</v>
      </c>
      <c r="F98" s="35"/>
      <c r="G98" s="34" t="n">
        <f aca="false">MAX(0,$G$97-$C98-$F98)</f>
        <v>263216762</v>
      </c>
      <c r="H98" s="32" t="str">
        <f aca="false">IF($B98="","",TEXT($B98,"yyyy-mm"))</f>
        <v>2033-01</v>
      </c>
      <c r="I98" s="36" t="n">
        <f aca="false">IF($B$7="원리금균등",MAX(0,MIN($K$97,ROUND($B$11,0)-$J98)),IF($B$7="원금균등",MIN($K$97,ROUND($B$4/$B$6,0)),IF(77=$B$6,$K$97,0)))</f>
        <v>543890</v>
      </c>
      <c r="J98" s="36" t="n">
        <f aca="false">ROUND($K$97*$B$10,0)</f>
        <v>923162</v>
      </c>
      <c r="K98" s="36" t="n">
        <f aca="false">MAX(0,$K$97-$I98)</f>
        <v>263216762</v>
      </c>
    </row>
    <row r="99" customFormat="false" ht="15" hidden="false" customHeight="false" outlineLevel="0" collapsed="false">
      <c r="A99" s="32" t="n">
        <f aca="false">IF(78&gt;$B$6,"",78)</f>
        <v>78</v>
      </c>
      <c r="B99" s="33" t="n">
        <f aca="false">IF($A99="","",EDATE($B$8,78-1))</f>
        <v>48611</v>
      </c>
      <c r="C99" s="34" t="n">
        <f aca="false">IF($B$7="원리금균등",MAX(0,MIN($G$98,ROUND($B$11,0)-$D99)),IF($B$7="원금균등",MIN($G$98,ROUND($B$4/$B$6,0)),IF(78=$B$6,$G$98,0)))</f>
        <v>545793</v>
      </c>
      <c r="D99" s="34" t="n">
        <f aca="false">ROUND($G$98*$B$10,0)</f>
        <v>921259</v>
      </c>
      <c r="E99" s="34" t="n">
        <f aca="false">IF($A99="",0,$C99+$D99)</f>
        <v>1467052</v>
      </c>
      <c r="F99" s="35"/>
      <c r="G99" s="34" t="n">
        <f aca="false">MAX(0,$G$98-$C99-$F99)</f>
        <v>262670969</v>
      </c>
      <c r="H99" s="32" t="str">
        <f aca="false">IF($B99="","",TEXT($B99,"yyyy-mm"))</f>
        <v>2033-02</v>
      </c>
      <c r="I99" s="36" t="n">
        <f aca="false">IF($B$7="원리금균등",MAX(0,MIN($K$98,ROUND($B$11,0)-$J99)),IF($B$7="원금균등",MIN($K$98,ROUND($B$4/$B$6,0)),IF(78=$B$6,$K$98,0)))</f>
        <v>545793</v>
      </c>
      <c r="J99" s="36" t="n">
        <f aca="false">ROUND($K$98*$B$10,0)</f>
        <v>921259</v>
      </c>
      <c r="K99" s="36" t="n">
        <f aca="false">MAX(0,$K$98-$I99)</f>
        <v>262670969</v>
      </c>
    </row>
    <row r="100" customFormat="false" ht="15" hidden="false" customHeight="false" outlineLevel="0" collapsed="false">
      <c r="A100" s="32" t="n">
        <f aca="false">IF(79&gt;$B$6,"",79)</f>
        <v>79</v>
      </c>
      <c r="B100" s="33" t="n">
        <f aca="false">IF($A100="","",EDATE($B$8,79-1))</f>
        <v>48639</v>
      </c>
      <c r="C100" s="34" t="n">
        <f aca="false">IF($B$7="원리금균등",MAX(0,MIN($G$99,ROUND($B$11,0)-$D100)),IF($B$7="원금균등",MIN($G$99,ROUND($B$4/$B$6,0)),IF(79=$B$6,$G$99,0)))</f>
        <v>547704</v>
      </c>
      <c r="D100" s="34" t="n">
        <f aca="false">ROUND($G$99*$B$10,0)</f>
        <v>919348</v>
      </c>
      <c r="E100" s="34" t="n">
        <f aca="false">IF($A100="",0,$C100+$D100)</f>
        <v>1467052</v>
      </c>
      <c r="F100" s="35"/>
      <c r="G100" s="34" t="n">
        <f aca="false">MAX(0,$G$99-$C100-$F100)</f>
        <v>262123265</v>
      </c>
      <c r="H100" s="32" t="str">
        <f aca="false">IF($B100="","",TEXT($B100,"yyyy-mm"))</f>
        <v>2033-03</v>
      </c>
      <c r="I100" s="36" t="n">
        <f aca="false">IF($B$7="원리금균등",MAX(0,MIN($K$99,ROUND($B$11,0)-$J100)),IF($B$7="원금균등",MIN($K$99,ROUND($B$4/$B$6,0)),IF(79=$B$6,$K$99,0)))</f>
        <v>547704</v>
      </c>
      <c r="J100" s="36" t="n">
        <f aca="false">ROUND($K$99*$B$10,0)</f>
        <v>919348</v>
      </c>
      <c r="K100" s="36" t="n">
        <f aca="false">MAX(0,$K$99-$I100)</f>
        <v>262123265</v>
      </c>
    </row>
    <row r="101" customFormat="false" ht="15" hidden="false" customHeight="false" outlineLevel="0" collapsed="false">
      <c r="A101" s="32" t="n">
        <f aca="false">IF(80&gt;$B$6,"",80)</f>
        <v>80</v>
      </c>
      <c r="B101" s="33" t="n">
        <f aca="false">IF($A101="","",EDATE($B$8,80-1))</f>
        <v>48670</v>
      </c>
      <c r="C101" s="34" t="n">
        <f aca="false">IF($B$7="원리금균등",MAX(0,MIN($G$100,ROUND($B$11,0)-$D101)),IF($B$7="원금균등",MIN($G$100,ROUND($B$4/$B$6,0)),IF(80=$B$6,$G$100,0)))</f>
        <v>549621</v>
      </c>
      <c r="D101" s="34" t="n">
        <f aca="false">ROUND($G$100*$B$10,0)</f>
        <v>917431</v>
      </c>
      <c r="E101" s="34" t="n">
        <f aca="false">IF($A101="",0,$C101+$D101)</f>
        <v>1467052</v>
      </c>
      <c r="F101" s="35"/>
      <c r="G101" s="34" t="n">
        <f aca="false">MAX(0,$G$100-$C101-$F101)</f>
        <v>261573644</v>
      </c>
      <c r="H101" s="32" t="str">
        <f aca="false">IF($B101="","",TEXT($B101,"yyyy-mm"))</f>
        <v>2033-04</v>
      </c>
      <c r="I101" s="36" t="n">
        <f aca="false">IF($B$7="원리금균등",MAX(0,MIN($K$100,ROUND($B$11,0)-$J101)),IF($B$7="원금균등",MIN($K$100,ROUND($B$4/$B$6,0)),IF(80=$B$6,$K$100,0)))</f>
        <v>549621</v>
      </c>
      <c r="J101" s="36" t="n">
        <f aca="false">ROUND($K$100*$B$10,0)</f>
        <v>917431</v>
      </c>
      <c r="K101" s="36" t="n">
        <f aca="false">MAX(0,$K$100-$I101)</f>
        <v>261573644</v>
      </c>
    </row>
    <row r="102" customFormat="false" ht="15" hidden="false" customHeight="false" outlineLevel="0" collapsed="false">
      <c r="A102" s="32" t="n">
        <f aca="false">IF(81&gt;$B$6,"",81)</f>
        <v>81</v>
      </c>
      <c r="B102" s="33" t="n">
        <f aca="false">IF($A102="","",EDATE($B$8,81-1))</f>
        <v>48700</v>
      </c>
      <c r="C102" s="34" t="n">
        <f aca="false">IF($B$7="원리금균등",MAX(0,MIN($G$101,ROUND($B$11,0)-$D102)),IF($B$7="원금균등",MIN($G$101,ROUND($B$4/$B$6,0)),IF(81=$B$6,$G$101,0)))</f>
        <v>551544</v>
      </c>
      <c r="D102" s="34" t="n">
        <f aca="false">ROUND($G$101*$B$10,0)</f>
        <v>915508</v>
      </c>
      <c r="E102" s="34" t="n">
        <f aca="false">IF($A102="",0,$C102+$D102)</f>
        <v>1467052</v>
      </c>
      <c r="F102" s="35"/>
      <c r="G102" s="34" t="n">
        <f aca="false">MAX(0,$G$101-$C102-$F102)</f>
        <v>261022100</v>
      </c>
      <c r="H102" s="32" t="str">
        <f aca="false">IF($B102="","",TEXT($B102,"yyyy-mm"))</f>
        <v>2033-05</v>
      </c>
      <c r="I102" s="36" t="n">
        <f aca="false">IF($B$7="원리금균등",MAX(0,MIN($K$101,ROUND($B$11,0)-$J102)),IF($B$7="원금균등",MIN($K$101,ROUND($B$4/$B$6,0)),IF(81=$B$6,$K$101,0)))</f>
        <v>551544</v>
      </c>
      <c r="J102" s="36" t="n">
        <f aca="false">ROUND($K$101*$B$10,0)</f>
        <v>915508</v>
      </c>
      <c r="K102" s="36" t="n">
        <f aca="false">MAX(0,$K$101-$I102)</f>
        <v>261022100</v>
      </c>
    </row>
    <row r="103" customFormat="false" ht="15" hidden="false" customHeight="false" outlineLevel="0" collapsed="false">
      <c r="A103" s="32" t="n">
        <f aca="false">IF(82&gt;$B$6,"",82)</f>
        <v>82</v>
      </c>
      <c r="B103" s="33" t="n">
        <f aca="false">IF($A103="","",EDATE($B$8,82-1))</f>
        <v>48731</v>
      </c>
      <c r="C103" s="34" t="n">
        <f aca="false">IF($B$7="원리금균등",MAX(0,MIN($G$102,ROUND($B$11,0)-$D103)),IF($B$7="원금균등",MIN($G$102,ROUND($B$4/$B$6,0)),IF(82=$B$6,$G$102,0)))</f>
        <v>553475</v>
      </c>
      <c r="D103" s="34" t="n">
        <f aca="false">ROUND($G$102*$B$10,0)</f>
        <v>913577</v>
      </c>
      <c r="E103" s="34" t="n">
        <f aca="false">IF($A103="",0,$C103+$D103)</f>
        <v>1467052</v>
      </c>
      <c r="F103" s="35"/>
      <c r="G103" s="34" t="n">
        <f aca="false">MAX(0,$G$102-$C103-$F103)</f>
        <v>260468625</v>
      </c>
      <c r="H103" s="32" t="str">
        <f aca="false">IF($B103="","",TEXT($B103,"yyyy-mm"))</f>
        <v>2033-06</v>
      </c>
      <c r="I103" s="36" t="n">
        <f aca="false">IF($B$7="원리금균등",MAX(0,MIN($K$102,ROUND($B$11,0)-$J103)),IF($B$7="원금균등",MIN($K$102,ROUND($B$4/$B$6,0)),IF(82=$B$6,$K$102,0)))</f>
        <v>553475</v>
      </c>
      <c r="J103" s="36" t="n">
        <f aca="false">ROUND($K$102*$B$10,0)</f>
        <v>913577</v>
      </c>
      <c r="K103" s="36" t="n">
        <f aca="false">MAX(0,$K$102-$I103)</f>
        <v>260468625</v>
      </c>
    </row>
    <row r="104" customFormat="false" ht="15" hidden="false" customHeight="false" outlineLevel="0" collapsed="false">
      <c r="A104" s="32" t="n">
        <f aca="false">IF(83&gt;$B$6,"",83)</f>
        <v>83</v>
      </c>
      <c r="B104" s="33" t="n">
        <f aca="false">IF($A104="","",EDATE($B$8,83-1))</f>
        <v>48761</v>
      </c>
      <c r="C104" s="34" t="n">
        <f aca="false">IF($B$7="원리금균등",MAX(0,MIN($G$103,ROUND($B$11,0)-$D104)),IF($B$7="원금균등",MIN($G$103,ROUND($B$4/$B$6,0)),IF(83=$B$6,$G$103,0)))</f>
        <v>555412</v>
      </c>
      <c r="D104" s="34" t="n">
        <f aca="false">ROUND($G$103*$B$10,0)</f>
        <v>911640</v>
      </c>
      <c r="E104" s="34" t="n">
        <f aca="false">IF($A104="",0,$C104+$D104)</f>
        <v>1467052</v>
      </c>
      <c r="F104" s="35"/>
      <c r="G104" s="34" t="n">
        <f aca="false">MAX(0,$G$103-$C104-$F104)</f>
        <v>259913213</v>
      </c>
      <c r="H104" s="32" t="str">
        <f aca="false">IF($B104="","",TEXT($B104,"yyyy-mm"))</f>
        <v>2033-07</v>
      </c>
      <c r="I104" s="36" t="n">
        <f aca="false">IF($B$7="원리금균등",MAX(0,MIN($K$103,ROUND($B$11,0)-$J104)),IF($B$7="원금균등",MIN($K$103,ROUND($B$4/$B$6,0)),IF(83=$B$6,$K$103,0)))</f>
        <v>555412</v>
      </c>
      <c r="J104" s="36" t="n">
        <f aca="false">ROUND($K$103*$B$10,0)</f>
        <v>911640</v>
      </c>
      <c r="K104" s="36" t="n">
        <f aca="false">MAX(0,$K$103-$I104)</f>
        <v>259913213</v>
      </c>
    </row>
    <row r="105" customFormat="false" ht="15" hidden="false" customHeight="false" outlineLevel="0" collapsed="false">
      <c r="A105" s="32" t="n">
        <f aca="false">IF(84&gt;$B$6,"",84)</f>
        <v>84</v>
      </c>
      <c r="B105" s="33" t="n">
        <f aca="false">IF($A105="","",EDATE($B$8,84-1))</f>
        <v>48792</v>
      </c>
      <c r="C105" s="34" t="n">
        <f aca="false">IF($B$7="원리금균등",MAX(0,MIN($G$104,ROUND($B$11,0)-$D105)),IF($B$7="원금균등",MIN($G$104,ROUND($B$4/$B$6,0)),IF(84=$B$6,$G$104,0)))</f>
        <v>557356</v>
      </c>
      <c r="D105" s="34" t="n">
        <f aca="false">ROUND($G$104*$B$10,0)</f>
        <v>909696</v>
      </c>
      <c r="E105" s="34" t="n">
        <f aca="false">IF($A105="",0,$C105+$D105)</f>
        <v>1467052</v>
      </c>
      <c r="F105" s="35"/>
      <c r="G105" s="34" t="n">
        <f aca="false">MAX(0,$G$104-$C105-$F105)</f>
        <v>259355857</v>
      </c>
      <c r="H105" s="32" t="str">
        <f aca="false">IF($B105="","",TEXT($B105,"yyyy-mm"))</f>
        <v>2033-08</v>
      </c>
      <c r="I105" s="36" t="n">
        <f aca="false">IF($B$7="원리금균등",MAX(0,MIN($K$104,ROUND($B$11,0)-$J105)),IF($B$7="원금균등",MIN($K$104,ROUND($B$4/$B$6,0)),IF(84=$B$6,$K$104,0)))</f>
        <v>557356</v>
      </c>
      <c r="J105" s="36" t="n">
        <f aca="false">ROUND($K$104*$B$10,0)</f>
        <v>909696</v>
      </c>
      <c r="K105" s="36" t="n">
        <f aca="false">MAX(0,$K$104-$I105)</f>
        <v>259355857</v>
      </c>
    </row>
    <row r="106" customFormat="false" ht="15" hidden="false" customHeight="false" outlineLevel="0" collapsed="false">
      <c r="A106" s="32" t="n">
        <f aca="false">IF(85&gt;$B$6,"",85)</f>
        <v>85</v>
      </c>
      <c r="B106" s="33" t="n">
        <f aca="false">IF($A106="","",EDATE($B$8,85-1))</f>
        <v>48823</v>
      </c>
      <c r="C106" s="34" t="n">
        <f aca="false">IF($B$7="원리금균등",MAX(0,MIN($G$105,ROUND($B$11,0)-$D106)),IF($B$7="원금균등",MIN($G$105,ROUND($B$4/$B$6,0)),IF(85=$B$6,$G$105,0)))</f>
        <v>559307</v>
      </c>
      <c r="D106" s="34" t="n">
        <f aca="false">ROUND($G$105*$B$10,0)</f>
        <v>907745</v>
      </c>
      <c r="E106" s="34" t="n">
        <f aca="false">IF($A106="",0,$C106+$D106)</f>
        <v>1467052</v>
      </c>
      <c r="F106" s="35"/>
      <c r="G106" s="34" t="n">
        <f aca="false">MAX(0,$G$105-$C106-$F106)</f>
        <v>258796550</v>
      </c>
      <c r="H106" s="32" t="str">
        <f aca="false">IF($B106="","",TEXT($B106,"yyyy-mm"))</f>
        <v>2033-09</v>
      </c>
      <c r="I106" s="36" t="n">
        <f aca="false">IF($B$7="원리금균등",MAX(0,MIN($K$105,ROUND($B$11,0)-$J106)),IF($B$7="원금균등",MIN($K$105,ROUND($B$4/$B$6,0)),IF(85=$B$6,$K$105,0)))</f>
        <v>559307</v>
      </c>
      <c r="J106" s="36" t="n">
        <f aca="false">ROUND($K$105*$B$10,0)</f>
        <v>907745</v>
      </c>
      <c r="K106" s="36" t="n">
        <f aca="false">MAX(0,$K$105-$I106)</f>
        <v>258796550</v>
      </c>
    </row>
    <row r="107" customFormat="false" ht="15" hidden="false" customHeight="false" outlineLevel="0" collapsed="false">
      <c r="A107" s="32" t="n">
        <f aca="false">IF(86&gt;$B$6,"",86)</f>
        <v>86</v>
      </c>
      <c r="B107" s="33" t="n">
        <f aca="false">IF($A107="","",EDATE($B$8,86-1))</f>
        <v>48853</v>
      </c>
      <c r="C107" s="34" t="n">
        <f aca="false">IF($B$7="원리금균등",MAX(0,MIN($G$106,ROUND($B$11,0)-$D107)),IF($B$7="원금균등",MIN($G$106,ROUND($B$4/$B$6,0)),IF(86=$B$6,$G$106,0)))</f>
        <v>561264</v>
      </c>
      <c r="D107" s="34" t="n">
        <f aca="false">ROUND($G$106*$B$10,0)</f>
        <v>905788</v>
      </c>
      <c r="E107" s="34" t="n">
        <f aca="false">IF($A107="",0,$C107+$D107)</f>
        <v>1467052</v>
      </c>
      <c r="F107" s="35"/>
      <c r="G107" s="34" t="n">
        <f aca="false">MAX(0,$G$106-$C107-$F107)</f>
        <v>258235286</v>
      </c>
      <c r="H107" s="32" t="str">
        <f aca="false">IF($B107="","",TEXT($B107,"yyyy-mm"))</f>
        <v>2033-10</v>
      </c>
      <c r="I107" s="36" t="n">
        <f aca="false">IF($B$7="원리금균등",MAX(0,MIN($K$106,ROUND($B$11,0)-$J107)),IF($B$7="원금균등",MIN($K$106,ROUND($B$4/$B$6,0)),IF(86=$B$6,$K$106,0)))</f>
        <v>561264</v>
      </c>
      <c r="J107" s="36" t="n">
        <f aca="false">ROUND($K$106*$B$10,0)</f>
        <v>905788</v>
      </c>
      <c r="K107" s="36" t="n">
        <f aca="false">MAX(0,$K$106-$I107)</f>
        <v>258235286</v>
      </c>
    </row>
    <row r="108" customFormat="false" ht="15" hidden="false" customHeight="false" outlineLevel="0" collapsed="false">
      <c r="A108" s="32" t="n">
        <f aca="false">IF(87&gt;$B$6,"",87)</f>
        <v>87</v>
      </c>
      <c r="B108" s="33" t="n">
        <f aca="false">IF($A108="","",EDATE($B$8,87-1))</f>
        <v>48884</v>
      </c>
      <c r="C108" s="34" t="n">
        <f aca="false">IF($B$7="원리금균등",MAX(0,MIN($G$107,ROUND($B$11,0)-$D108)),IF($B$7="원금균등",MIN($G$107,ROUND($B$4/$B$6,0)),IF(87=$B$6,$G$107,0)))</f>
        <v>563228</v>
      </c>
      <c r="D108" s="34" t="n">
        <f aca="false">ROUND($G$107*$B$10,0)</f>
        <v>903824</v>
      </c>
      <c r="E108" s="34" t="n">
        <f aca="false">IF($A108="",0,$C108+$D108)</f>
        <v>1467052</v>
      </c>
      <c r="F108" s="35"/>
      <c r="G108" s="34" t="n">
        <f aca="false">MAX(0,$G$107-$C108-$F108)</f>
        <v>257672058</v>
      </c>
      <c r="H108" s="32" t="str">
        <f aca="false">IF($B108="","",TEXT($B108,"yyyy-mm"))</f>
        <v>2033-11</v>
      </c>
      <c r="I108" s="36" t="n">
        <f aca="false">IF($B$7="원리금균등",MAX(0,MIN($K$107,ROUND($B$11,0)-$J108)),IF($B$7="원금균등",MIN($K$107,ROUND($B$4/$B$6,0)),IF(87=$B$6,$K$107,0)))</f>
        <v>563228</v>
      </c>
      <c r="J108" s="36" t="n">
        <f aca="false">ROUND($K$107*$B$10,0)</f>
        <v>903824</v>
      </c>
      <c r="K108" s="36" t="n">
        <f aca="false">MAX(0,$K$107-$I108)</f>
        <v>257672058</v>
      </c>
    </row>
    <row r="109" customFormat="false" ht="15" hidden="false" customHeight="false" outlineLevel="0" collapsed="false">
      <c r="A109" s="32" t="n">
        <f aca="false">IF(88&gt;$B$6,"",88)</f>
        <v>88</v>
      </c>
      <c r="B109" s="33" t="n">
        <f aca="false">IF($A109="","",EDATE($B$8,88-1))</f>
        <v>48914</v>
      </c>
      <c r="C109" s="34" t="n">
        <f aca="false">IF($B$7="원리금균등",MAX(0,MIN($G$108,ROUND($B$11,0)-$D109)),IF($B$7="원금균등",MIN($G$108,ROUND($B$4/$B$6,0)),IF(88=$B$6,$G$108,0)))</f>
        <v>565200</v>
      </c>
      <c r="D109" s="34" t="n">
        <f aca="false">ROUND($G$108*$B$10,0)</f>
        <v>901852</v>
      </c>
      <c r="E109" s="34" t="n">
        <f aca="false">IF($A109="",0,$C109+$D109)</f>
        <v>1467052</v>
      </c>
      <c r="F109" s="35"/>
      <c r="G109" s="34" t="n">
        <f aca="false">MAX(0,$G$108-$C109-$F109)</f>
        <v>257106858</v>
      </c>
      <c r="H109" s="32" t="str">
        <f aca="false">IF($B109="","",TEXT($B109,"yyyy-mm"))</f>
        <v>2033-12</v>
      </c>
      <c r="I109" s="36" t="n">
        <f aca="false">IF($B$7="원리금균등",MAX(0,MIN($K$108,ROUND($B$11,0)-$J109)),IF($B$7="원금균등",MIN($K$108,ROUND($B$4/$B$6,0)),IF(88=$B$6,$K$108,0)))</f>
        <v>565200</v>
      </c>
      <c r="J109" s="36" t="n">
        <f aca="false">ROUND($K$108*$B$10,0)</f>
        <v>901852</v>
      </c>
      <c r="K109" s="36" t="n">
        <f aca="false">MAX(0,$K$108-$I109)</f>
        <v>257106858</v>
      </c>
    </row>
    <row r="110" customFormat="false" ht="15" hidden="false" customHeight="false" outlineLevel="0" collapsed="false">
      <c r="A110" s="32" t="n">
        <f aca="false">IF(89&gt;$B$6,"",89)</f>
        <v>89</v>
      </c>
      <c r="B110" s="33" t="n">
        <f aca="false">IF($A110="","",EDATE($B$8,89-1))</f>
        <v>48945</v>
      </c>
      <c r="C110" s="34" t="n">
        <f aca="false">IF($B$7="원리금균등",MAX(0,MIN($G$109,ROUND($B$11,0)-$D110)),IF($B$7="원금균등",MIN($G$109,ROUND($B$4/$B$6,0)),IF(89=$B$6,$G$109,0)))</f>
        <v>567178</v>
      </c>
      <c r="D110" s="34" t="n">
        <f aca="false">ROUND($G$109*$B$10,0)</f>
        <v>899874</v>
      </c>
      <c r="E110" s="34" t="n">
        <f aca="false">IF($A110="",0,$C110+$D110)</f>
        <v>1467052</v>
      </c>
      <c r="F110" s="35"/>
      <c r="G110" s="34" t="n">
        <f aca="false">MAX(0,$G$109-$C110-$F110)</f>
        <v>256539680</v>
      </c>
      <c r="H110" s="32" t="str">
        <f aca="false">IF($B110="","",TEXT($B110,"yyyy-mm"))</f>
        <v>2034-01</v>
      </c>
      <c r="I110" s="36" t="n">
        <f aca="false">IF($B$7="원리금균등",MAX(0,MIN($K$109,ROUND($B$11,0)-$J110)),IF($B$7="원금균등",MIN($K$109,ROUND($B$4/$B$6,0)),IF(89=$B$6,$K$109,0)))</f>
        <v>567178</v>
      </c>
      <c r="J110" s="36" t="n">
        <f aca="false">ROUND($K$109*$B$10,0)</f>
        <v>899874</v>
      </c>
      <c r="K110" s="36" t="n">
        <f aca="false">MAX(0,$K$109-$I110)</f>
        <v>256539680</v>
      </c>
    </row>
    <row r="111" customFormat="false" ht="15" hidden="false" customHeight="false" outlineLevel="0" collapsed="false">
      <c r="A111" s="32" t="n">
        <f aca="false">IF(90&gt;$B$6,"",90)</f>
        <v>90</v>
      </c>
      <c r="B111" s="33" t="n">
        <f aca="false">IF($A111="","",EDATE($B$8,90-1))</f>
        <v>48976</v>
      </c>
      <c r="C111" s="34" t="n">
        <f aca="false">IF($B$7="원리금균등",MAX(0,MIN($G$110,ROUND($B$11,0)-$D111)),IF($B$7="원금균등",MIN($G$110,ROUND($B$4/$B$6,0)),IF(90=$B$6,$G$110,0)))</f>
        <v>569163</v>
      </c>
      <c r="D111" s="34" t="n">
        <f aca="false">ROUND($G$110*$B$10,0)</f>
        <v>897889</v>
      </c>
      <c r="E111" s="34" t="n">
        <f aca="false">IF($A111="",0,$C111+$D111)</f>
        <v>1467052</v>
      </c>
      <c r="F111" s="35"/>
      <c r="G111" s="34" t="n">
        <f aca="false">MAX(0,$G$110-$C111-$F111)</f>
        <v>255970517</v>
      </c>
      <c r="H111" s="32" t="str">
        <f aca="false">IF($B111="","",TEXT($B111,"yyyy-mm"))</f>
        <v>2034-02</v>
      </c>
      <c r="I111" s="36" t="n">
        <f aca="false">IF($B$7="원리금균등",MAX(0,MIN($K$110,ROUND($B$11,0)-$J111)),IF($B$7="원금균등",MIN($K$110,ROUND($B$4/$B$6,0)),IF(90=$B$6,$K$110,0)))</f>
        <v>569163</v>
      </c>
      <c r="J111" s="36" t="n">
        <f aca="false">ROUND($K$110*$B$10,0)</f>
        <v>897889</v>
      </c>
      <c r="K111" s="36" t="n">
        <f aca="false">MAX(0,$K$110-$I111)</f>
        <v>255970517</v>
      </c>
    </row>
    <row r="112" customFormat="false" ht="15" hidden="false" customHeight="false" outlineLevel="0" collapsed="false">
      <c r="A112" s="32" t="n">
        <f aca="false">IF(91&gt;$B$6,"",91)</f>
        <v>91</v>
      </c>
      <c r="B112" s="33" t="n">
        <f aca="false">IF($A112="","",EDATE($B$8,91-1))</f>
        <v>49004</v>
      </c>
      <c r="C112" s="34" t="n">
        <f aca="false">IF($B$7="원리금균등",MAX(0,MIN($G$111,ROUND($B$11,0)-$D112)),IF($B$7="원금균등",MIN($G$111,ROUND($B$4/$B$6,0)),IF(91=$B$6,$G$111,0)))</f>
        <v>571155</v>
      </c>
      <c r="D112" s="34" t="n">
        <f aca="false">ROUND($G$111*$B$10,0)</f>
        <v>895897</v>
      </c>
      <c r="E112" s="34" t="n">
        <f aca="false">IF($A112="",0,$C112+$D112)</f>
        <v>1467052</v>
      </c>
      <c r="F112" s="35"/>
      <c r="G112" s="34" t="n">
        <f aca="false">MAX(0,$G$111-$C112-$F112)</f>
        <v>255399362</v>
      </c>
      <c r="H112" s="32" t="str">
        <f aca="false">IF($B112="","",TEXT($B112,"yyyy-mm"))</f>
        <v>2034-03</v>
      </c>
      <c r="I112" s="36" t="n">
        <f aca="false">IF($B$7="원리금균등",MAX(0,MIN($K$111,ROUND($B$11,0)-$J112)),IF($B$7="원금균등",MIN($K$111,ROUND($B$4/$B$6,0)),IF(91=$B$6,$K$111,0)))</f>
        <v>571155</v>
      </c>
      <c r="J112" s="36" t="n">
        <f aca="false">ROUND($K$111*$B$10,0)</f>
        <v>895897</v>
      </c>
      <c r="K112" s="36" t="n">
        <f aca="false">MAX(0,$K$111-$I112)</f>
        <v>255399362</v>
      </c>
    </row>
    <row r="113" customFormat="false" ht="15" hidden="false" customHeight="false" outlineLevel="0" collapsed="false">
      <c r="A113" s="32" t="n">
        <f aca="false">IF(92&gt;$B$6,"",92)</f>
        <v>92</v>
      </c>
      <c r="B113" s="33" t="n">
        <f aca="false">IF($A113="","",EDATE($B$8,92-1))</f>
        <v>49035</v>
      </c>
      <c r="C113" s="34" t="n">
        <f aca="false">IF($B$7="원리금균등",MAX(0,MIN($G$112,ROUND($B$11,0)-$D113)),IF($B$7="원금균등",MIN($G$112,ROUND($B$4/$B$6,0)),IF(92=$B$6,$G$112,0)))</f>
        <v>573154</v>
      </c>
      <c r="D113" s="34" t="n">
        <f aca="false">ROUND($G$112*$B$10,0)</f>
        <v>893898</v>
      </c>
      <c r="E113" s="34" t="n">
        <f aca="false">IF($A113="",0,$C113+$D113)</f>
        <v>1467052</v>
      </c>
      <c r="F113" s="35"/>
      <c r="G113" s="34" t="n">
        <f aca="false">MAX(0,$G$112-$C113-$F113)</f>
        <v>254826208</v>
      </c>
      <c r="H113" s="32" t="str">
        <f aca="false">IF($B113="","",TEXT($B113,"yyyy-mm"))</f>
        <v>2034-04</v>
      </c>
      <c r="I113" s="36" t="n">
        <f aca="false">IF($B$7="원리금균등",MAX(0,MIN($K$112,ROUND($B$11,0)-$J113)),IF($B$7="원금균등",MIN($K$112,ROUND($B$4/$B$6,0)),IF(92=$B$6,$K$112,0)))</f>
        <v>573154</v>
      </c>
      <c r="J113" s="36" t="n">
        <f aca="false">ROUND($K$112*$B$10,0)</f>
        <v>893898</v>
      </c>
      <c r="K113" s="36" t="n">
        <f aca="false">MAX(0,$K$112-$I113)</f>
        <v>254826208</v>
      </c>
    </row>
    <row r="114" customFormat="false" ht="15" hidden="false" customHeight="false" outlineLevel="0" collapsed="false">
      <c r="A114" s="32" t="n">
        <f aca="false">IF(93&gt;$B$6,"",93)</f>
        <v>93</v>
      </c>
      <c r="B114" s="33" t="n">
        <f aca="false">IF($A114="","",EDATE($B$8,93-1))</f>
        <v>49065</v>
      </c>
      <c r="C114" s="34" t="n">
        <f aca="false">IF($B$7="원리금균등",MAX(0,MIN($G$113,ROUND($B$11,0)-$D114)),IF($B$7="원금균등",MIN($G$113,ROUND($B$4/$B$6,0)),IF(93=$B$6,$G$113,0)))</f>
        <v>575160</v>
      </c>
      <c r="D114" s="34" t="n">
        <f aca="false">ROUND($G$113*$B$10,0)</f>
        <v>891892</v>
      </c>
      <c r="E114" s="34" t="n">
        <f aca="false">IF($A114="",0,$C114+$D114)</f>
        <v>1467052</v>
      </c>
      <c r="F114" s="35"/>
      <c r="G114" s="34" t="n">
        <f aca="false">MAX(0,$G$113-$C114-$F114)</f>
        <v>254251048</v>
      </c>
      <c r="H114" s="32" t="str">
        <f aca="false">IF($B114="","",TEXT($B114,"yyyy-mm"))</f>
        <v>2034-05</v>
      </c>
      <c r="I114" s="36" t="n">
        <f aca="false">IF($B$7="원리금균등",MAX(0,MIN($K$113,ROUND($B$11,0)-$J114)),IF($B$7="원금균등",MIN($K$113,ROUND($B$4/$B$6,0)),IF(93=$B$6,$K$113,0)))</f>
        <v>575160</v>
      </c>
      <c r="J114" s="36" t="n">
        <f aca="false">ROUND($K$113*$B$10,0)</f>
        <v>891892</v>
      </c>
      <c r="K114" s="36" t="n">
        <f aca="false">MAX(0,$K$113-$I114)</f>
        <v>254251048</v>
      </c>
    </row>
    <row r="115" customFormat="false" ht="15" hidden="false" customHeight="false" outlineLevel="0" collapsed="false">
      <c r="A115" s="32" t="n">
        <f aca="false">IF(94&gt;$B$6,"",94)</f>
        <v>94</v>
      </c>
      <c r="B115" s="33" t="n">
        <f aca="false">IF($A115="","",EDATE($B$8,94-1))</f>
        <v>49096</v>
      </c>
      <c r="C115" s="34" t="n">
        <f aca="false">IF($B$7="원리금균등",MAX(0,MIN($G$114,ROUND($B$11,0)-$D115)),IF($B$7="원금균등",MIN($G$114,ROUND($B$4/$B$6,0)),IF(94=$B$6,$G$114,0)))</f>
        <v>577173</v>
      </c>
      <c r="D115" s="34" t="n">
        <f aca="false">ROUND($G$114*$B$10,0)</f>
        <v>889879</v>
      </c>
      <c r="E115" s="34" t="n">
        <f aca="false">IF($A115="",0,$C115+$D115)</f>
        <v>1467052</v>
      </c>
      <c r="F115" s="35"/>
      <c r="G115" s="34" t="n">
        <f aca="false">MAX(0,$G$114-$C115-$F115)</f>
        <v>253673875</v>
      </c>
      <c r="H115" s="32" t="str">
        <f aca="false">IF($B115="","",TEXT($B115,"yyyy-mm"))</f>
        <v>2034-06</v>
      </c>
      <c r="I115" s="36" t="n">
        <f aca="false">IF($B$7="원리금균등",MAX(0,MIN($K$114,ROUND($B$11,0)-$J115)),IF($B$7="원금균등",MIN($K$114,ROUND($B$4/$B$6,0)),IF(94=$B$6,$K$114,0)))</f>
        <v>577173</v>
      </c>
      <c r="J115" s="36" t="n">
        <f aca="false">ROUND($K$114*$B$10,0)</f>
        <v>889879</v>
      </c>
      <c r="K115" s="36" t="n">
        <f aca="false">MAX(0,$K$114-$I115)</f>
        <v>253673875</v>
      </c>
    </row>
    <row r="116" customFormat="false" ht="15" hidden="false" customHeight="false" outlineLevel="0" collapsed="false">
      <c r="A116" s="32" t="n">
        <f aca="false">IF(95&gt;$B$6,"",95)</f>
        <v>95</v>
      </c>
      <c r="B116" s="33" t="n">
        <f aca="false">IF($A116="","",EDATE($B$8,95-1))</f>
        <v>49126</v>
      </c>
      <c r="C116" s="34" t="n">
        <f aca="false">IF($B$7="원리금균등",MAX(0,MIN($G$115,ROUND($B$11,0)-$D116)),IF($B$7="원금균등",MIN($G$115,ROUND($B$4/$B$6,0)),IF(95=$B$6,$G$115,0)))</f>
        <v>579193</v>
      </c>
      <c r="D116" s="34" t="n">
        <f aca="false">ROUND($G$115*$B$10,0)</f>
        <v>887859</v>
      </c>
      <c r="E116" s="34" t="n">
        <f aca="false">IF($A116="",0,$C116+$D116)</f>
        <v>1467052</v>
      </c>
      <c r="F116" s="35"/>
      <c r="G116" s="34" t="n">
        <f aca="false">MAX(0,$G$115-$C116-$F116)</f>
        <v>253094682</v>
      </c>
      <c r="H116" s="32" t="str">
        <f aca="false">IF($B116="","",TEXT($B116,"yyyy-mm"))</f>
        <v>2034-07</v>
      </c>
      <c r="I116" s="36" t="n">
        <f aca="false">IF($B$7="원리금균등",MAX(0,MIN($K$115,ROUND($B$11,0)-$J116)),IF($B$7="원금균등",MIN($K$115,ROUND($B$4/$B$6,0)),IF(95=$B$6,$K$115,0)))</f>
        <v>579193</v>
      </c>
      <c r="J116" s="36" t="n">
        <f aca="false">ROUND($K$115*$B$10,0)</f>
        <v>887859</v>
      </c>
      <c r="K116" s="36" t="n">
        <f aca="false">MAX(0,$K$115-$I116)</f>
        <v>253094682</v>
      </c>
    </row>
    <row r="117" customFormat="false" ht="15" hidden="false" customHeight="false" outlineLevel="0" collapsed="false">
      <c r="A117" s="32" t="n">
        <f aca="false">IF(96&gt;$B$6,"",96)</f>
        <v>96</v>
      </c>
      <c r="B117" s="33" t="n">
        <f aca="false">IF($A117="","",EDATE($B$8,96-1))</f>
        <v>49157</v>
      </c>
      <c r="C117" s="34" t="n">
        <f aca="false">IF($B$7="원리금균등",MAX(0,MIN($G$116,ROUND($B$11,0)-$D117)),IF($B$7="원금균등",MIN($G$116,ROUND($B$4/$B$6,0)),IF(96=$B$6,$G$116,0)))</f>
        <v>581221</v>
      </c>
      <c r="D117" s="34" t="n">
        <f aca="false">ROUND($G$116*$B$10,0)</f>
        <v>885831</v>
      </c>
      <c r="E117" s="34" t="n">
        <f aca="false">IF($A117="",0,$C117+$D117)</f>
        <v>1467052</v>
      </c>
      <c r="F117" s="35"/>
      <c r="G117" s="34" t="n">
        <f aca="false">MAX(0,$G$116-$C117-$F117)</f>
        <v>252513461</v>
      </c>
      <c r="H117" s="32" t="str">
        <f aca="false">IF($B117="","",TEXT($B117,"yyyy-mm"))</f>
        <v>2034-08</v>
      </c>
      <c r="I117" s="36" t="n">
        <f aca="false">IF($B$7="원리금균등",MAX(0,MIN($K$116,ROUND($B$11,0)-$J117)),IF($B$7="원금균등",MIN($K$116,ROUND($B$4/$B$6,0)),IF(96=$B$6,$K$116,0)))</f>
        <v>581221</v>
      </c>
      <c r="J117" s="36" t="n">
        <f aca="false">ROUND($K$116*$B$10,0)</f>
        <v>885831</v>
      </c>
      <c r="K117" s="36" t="n">
        <f aca="false">MAX(0,$K$116-$I117)</f>
        <v>252513461</v>
      </c>
    </row>
    <row r="118" customFormat="false" ht="15" hidden="false" customHeight="false" outlineLevel="0" collapsed="false">
      <c r="A118" s="32" t="n">
        <f aca="false">IF(97&gt;$B$6,"",97)</f>
        <v>97</v>
      </c>
      <c r="B118" s="33" t="n">
        <f aca="false">IF($A118="","",EDATE($B$8,97-1))</f>
        <v>49188</v>
      </c>
      <c r="C118" s="34" t="n">
        <f aca="false">IF($B$7="원리금균등",MAX(0,MIN($G$117,ROUND($B$11,0)-$D118)),IF($B$7="원금균등",MIN($G$117,ROUND($B$4/$B$6,0)),IF(97=$B$6,$G$117,0)))</f>
        <v>583255</v>
      </c>
      <c r="D118" s="34" t="n">
        <f aca="false">ROUND($G$117*$B$10,0)</f>
        <v>883797</v>
      </c>
      <c r="E118" s="34" t="n">
        <f aca="false">IF($A118="",0,$C118+$D118)</f>
        <v>1467052</v>
      </c>
      <c r="F118" s="35"/>
      <c r="G118" s="34" t="n">
        <f aca="false">MAX(0,$G$117-$C118-$F118)</f>
        <v>251930206</v>
      </c>
      <c r="H118" s="32" t="str">
        <f aca="false">IF($B118="","",TEXT($B118,"yyyy-mm"))</f>
        <v>2034-09</v>
      </c>
      <c r="I118" s="36" t="n">
        <f aca="false">IF($B$7="원리금균등",MAX(0,MIN($K$117,ROUND($B$11,0)-$J118)),IF($B$7="원금균등",MIN($K$117,ROUND($B$4/$B$6,0)),IF(97=$B$6,$K$117,0)))</f>
        <v>583255</v>
      </c>
      <c r="J118" s="36" t="n">
        <f aca="false">ROUND($K$117*$B$10,0)</f>
        <v>883797</v>
      </c>
      <c r="K118" s="36" t="n">
        <f aca="false">MAX(0,$K$117-$I118)</f>
        <v>251930206</v>
      </c>
    </row>
    <row r="119" customFormat="false" ht="15" hidden="false" customHeight="false" outlineLevel="0" collapsed="false">
      <c r="A119" s="32" t="n">
        <f aca="false">IF(98&gt;$B$6,"",98)</f>
        <v>98</v>
      </c>
      <c r="B119" s="33" t="n">
        <f aca="false">IF($A119="","",EDATE($B$8,98-1))</f>
        <v>49218</v>
      </c>
      <c r="C119" s="34" t="n">
        <f aca="false">IF($B$7="원리금균등",MAX(0,MIN($G$118,ROUND($B$11,0)-$D119)),IF($B$7="원금균등",MIN($G$118,ROUND($B$4/$B$6,0)),IF(98=$B$6,$G$118,0)))</f>
        <v>585296</v>
      </c>
      <c r="D119" s="34" t="n">
        <f aca="false">ROUND($G$118*$B$10,0)</f>
        <v>881756</v>
      </c>
      <c r="E119" s="34" t="n">
        <f aca="false">IF($A119="",0,$C119+$D119)</f>
        <v>1467052</v>
      </c>
      <c r="F119" s="35"/>
      <c r="G119" s="34" t="n">
        <f aca="false">MAX(0,$G$118-$C119-$F119)</f>
        <v>251344910</v>
      </c>
      <c r="H119" s="32" t="str">
        <f aca="false">IF($B119="","",TEXT($B119,"yyyy-mm"))</f>
        <v>2034-10</v>
      </c>
      <c r="I119" s="36" t="n">
        <f aca="false">IF($B$7="원리금균등",MAX(0,MIN($K$118,ROUND($B$11,0)-$J119)),IF($B$7="원금균등",MIN($K$118,ROUND($B$4/$B$6,0)),IF(98=$B$6,$K$118,0)))</f>
        <v>585296</v>
      </c>
      <c r="J119" s="36" t="n">
        <f aca="false">ROUND($K$118*$B$10,0)</f>
        <v>881756</v>
      </c>
      <c r="K119" s="36" t="n">
        <f aca="false">MAX(0,$K$118-$I119)</f>
        <v>251344910</v>
      </c>
    </row>
    <row r="120" customFormat="false" ht="15" hidden="false" customHeight="false" outlineLevel="0" collapsed="false">
      <c r="A120" s="32" t="n">
        <f aca="false">IF(99&gt;$B$6,"",99)</f>
        <v>99</v>
      </c>
      <c r="B120" s="33" t="n">
        <f aca="false">IF($A120="","",EDATE($B$8,99-1))</f>
        <v>49249</v>
      </c>
      <c r="C120" s="34" t="n">
        <f aca="false">IF($B$7="원리금균등",MAX(0,MIN($G$119,ROUND($B$11,0)-$D120)),IF($B$7="원금균등",MIN($G$119,ROUND($B$4/$B$6,0)),IF(99=$B$6,$G$119,0)))</f>
        <v>587345</v>
      </c>
      <c r="D120" s="34" t="n">
        <f aca="false">ROUND($G$119*$B$10,0)</f>
        <v>879707</v>
      </c>
      <c r="E120" s="34" t="n">
        <f aca="false">IF($A120="",0,$C120+$D120)</f>
        <v>1467052</v>
      </c>
      <c r="F120" s="35"/>
      <c r="G120" s="34" t="n">
        <f aca="false">MAX(0,$G$119-$C120-$F120)</f>
        <v>250757565</v>
      </c>
      <c r="H120" s="32" t="str">
        <f aca="false">IF($B120="","",TEXT($B120,"yyyy-mm"))</f>
        <v>2034-11</v>
      </c>
      <c r="I120" s="36" t="n">
        <f aca="false">IF($B$7="원리금균등",MAX(0,MIN($K$119,ROUND($B$11,0)-$J120)),IF($B$7="원금균등",MIN($K$119,ROUND($B$4/$B$6,0)),IF(99=$B$6,$K$119,0)))</f>
        <v>587345</v>
      </c>
      <c r="J120" s="36" t="n">
        <f aca="false">ROUND($K$119*$B$10,0)</f>
        <v>879707</v>
      </c>
      <c r="K120" s="36" t="n">
        <f aca="false">MAX(0,$K$119-$I120)</f>
        <v>250757565</v>
      </c>
    </row>
    <row r="121" customFormat="false" ht="15" hidden="false" customHeight="false" outlineLevel="0" collapsed="false">
      <c r="A121" s="32" t="n">
        <f aca="false">IF(100&gt;$B$6,"",100)</f>
        <v>100</v>
      </c>
      <c r="B121" s="33" t="n">
        <f aca="false">IF($A121="","",EDATE($B$8,100-1))</f>
        <v>49279</v>
      </c>
      <c r="C121" s="34" t="n">
        <f aca="false">IF($B$7="원리금균등",MAX(0,MIN($G$120,ROUND($B$11,0)-$D121)),IF($B$7="원금균등",MIN($G$120,ROUND($B$4/$B$6,0)),IF(100=$B$6,$G$120,0)))</f>
        <v>589401</v>
      </c>
      <c r="D121" s="34" t="n">
        <f aca="false">ROUND($G$120*$B$10,0)</f>
        <v>877651</v>
      </c>
      <c r="E121" s="34" t="n">
        <f aca="false">IF($A121="",0,$C121+$D121)</f>
        <v>1467052</v>
      </c>
      <c r="F121" s="35"/>
      <c r="G121" s="34" t="n">
        <f aca="false">MAX(0,$G$120-$C121-$F121)</f>
        <v>250168164</v>
      </c>
      <c r="H121" s="32" t="str">
        <f aca="false">IF($B121="","",TEXT($B121,"yyyy-mm"))</f>
        <v>2034-12</v>
      </c>
      <c r="I121" s="36" t="n">
        <f aca="false">IF($B$7="원리금균등",MAX(0,MIN($K$120,ROUND($B$11,0)-$J121)),IF($B$7="원금균등",MIN($K$120,ROUND($B$4/$B$6,0)),IF(100=$B$6,$K$120,0)))</f>
        <v>589401</v>
      </c>
      <c r="J121" s="36" t="n">
        <f aca="false">ROUND($K$120*$B$10,0)</f>
        <v>877651</v>
      </c>
      <c r="K121" s="36" t="n">
        <f aca="false">MAX(0,$K$120-$I121)</f>
        <v>250168164</v>
      </c>
    </row>
    <row r="122" customFormat="false" ht="15" hidden="false" customHeight="false" outlineLevel="0" collapsed="false">
      <c r="A122" s="32" t="n">
        <f aca="false">IF(101&gt;$B$6,"",101)</f>
        <v>101</v>
      </c>
      <c r="B122" s="33" t="n">
        <f aca="false">IF($A122="","",EDATE($B$8,101-1))</f>
        <v>49310</v>
      </c>
      <c r="C122" s="34" t="n">
        <f aca="false">IF($B$7="원리금균등",MAX(0,MIN($G$121,ROUND($B$11,0)-$D122)),IF($B$7="원금균등",MIN($G$121,ROUND($B$4/$B$6,0)),IF(101=$B$6,$G$121,0)))</f>
        <v>591463</v>
      </c>
      <c r="D122" s="34" t="n">
        <f aca="false">ROUND($G$121*$B$10,0)</f>
        <v>875589</v>
      </c>
      <c r="E122" s="34" t="n">
        <f aca="false">IF($A122="",0,$C122+$D122)</f>
        <v>1467052</v>
      </c>
      <c r="F122" s="35"/>
      <c r="G122" s="34" t="n">
        <f aca="false">MAX(0,$G$121-$C122-$F122)</f>
        <v>249576701</v>
      </c>
      <c r="H122" s="32" t="str">
        <f aca="false">IF($B122="","",TEXT($B122,"yyyy-mm"))</f>
        <v>2035-01</v>
      </c>
      <c r="I122" s="36" t="n">
        <f aca="false">IF($B$7="원리금균등",MAX(0,MIN($K$121,ROUND($B$11,0)-$J122)),IF($B$7="원금균등",MIN($K$121,ROUND($B$4/$B$6,0)),IF(101=$B$6,$K$121,0)))</f>
        <v>591463</v>
      </c>
      <c r="J122" s="36" t="n">
        <f aca="false">ROUND($K$121*$B$10,0)</f>
        <v>875589</v>
      </c>
      <c r="K122" s="36" t="n">
        <f aca="false">MAX(0,$K$121-$I122)</f>
        <v>249576701</v>
      </c>
    </row>
    <row r="123" customFormat="false" ht="15" hidden="false" customHeight="false" outlineLevel="0" collapsed="false">
      <c r="A123" s="32" t="n">
        <f aca="false">IF(102&gt;$B$6,"",102)</f>
        <v>102</v>
      </c>
      <c r="B123" s="33" t="n">
        <f aca="false">IF($A123="","",EDATE($B$8,102-1))</f>
        <v>49341</v>
      </c>
      <c r="C123" s="34" t="n">
        <f aca="false">IF($B$7="원리금균등",MAX(0,MIN($G$122,ROUND($B$11,0)-$D123)),IF($B$7="원금균등",MIN($G$122,ROUND($B$4/$B$6,0)),IF(102=$B$6,$G$122,0)))</f>
        <v>593534</v>
      </c>
      <c r="D123" s="34" t="n">
        <f aca="false">ROUND($G$122*$B$10,0)</f>
        <v>873518</v>
      </c>
      <c r="E123" s="34" t="n">
        <f aca="false">IF($A123="",0,$C123+$D123)</f>
        <v>1467052</v>
      </c>
      <c r="F123" s="35"/>
      <c r="G123" s="34" t="n">
        <f aca="false">MAX(0,$G$122-$C123-$F123)</f>
        <v>248983167</v>
      </c>
      <c r="H123" s="32" t="str">
        <f aca="false">IF($B123="","",TEXT($B123,"yyyy-mm"))</f>
        <v>2035-02</v>
      </c>
      <c r="I123" s="36" t="n">
        <f aca="false">IF($B$7="원리금균등",MAX(0,MIN($K$122,ROUND($B$11,0)-$J123)),IF($B$7="원금균등",MIN($K$122,ROUND($B$4/$B$6,0)),IF(102=$B$6,$K$122,0)))</f>
        <v>593534</v>
      </c>
      <c r="J123" s="36" t="n">
        <f aca="false">ROUND($K$122*$B$10,0)</f>
        <v>873518</v>
      </c>
      <c r="K123" s="36" t="n">
        <f aca="false">MAX(0,$K$122-$I123)</f>
        <v>248983167</v>
      </c>
    </row>
    <row r="124" customFormat="false" ht="15" hidden="false" customHeight="false" outlineLevel="0" collapsed="false">
      <c r="A124" s="32" t="n">
        <f aca="false">IF(103&gt;$B$6,"",103)</f>
        <v>103</v>
      </c>
      <c r="B124" s="33" t="n">
        <f aca="false">IF($A124="","",EDATE($B$8,103-1))</f>
        <v>49369</v>
      </c>
      <c r="C124" s="34" t="n">
        <f aca="false">IF($B$7="원리금균등",MAX(0,MIN($G$123,ROUND($B$11,0)-$D124)),IF($B$7="원금균등",MIN($G$123,ROUND($B$4/$B$6,0)),IF(103=$B$6,$G$123,0)))</f>
        <v>595611</v>
      </c>
      <c r="D124" s="34" t="n">
        <f aca="false">ROUND($G$123*$B$10,0)</f>
        <v>871441</v>
      </c>
      <c r="E124" s="34" t="n">
        <f aca="false">IF($A124="",0,$C124+$D124)</f>
        <v>1467052</v>
      </c>
      <c r="F124" s="35"/>
      <c r="G124" s="34" t="n">
        <f aca="false">MAX(0,$G$123-$C124-$F124)</f>
        <v>248387556</v>
      </c>
      <c r="H124" s="32" t="str">
        <f aca="false">IF($B124="","",TEXT($B124,"yyyy-mm"))</f>
        <v>2035-03</v>
      </c>
      <c r="I124" s="36" t="n">
        <f aca="false">IF($B$7="원리금균등",MAX(0,MIN($K$123,ROUND($B$11,0)-$J124)),IF($B$7="원금균등",MIN($K$123,ROUND($B$4/$B$6,0)),IF(103=$B$6,$K$123,0)))</f>
        <v>595611</v>
      </c>
      <c r="J124" s="36" t="n">
        <f aca="false">ROUND($K$123*$B$10,0)</f>
        <v>871441</v>
      </c>
      <c r="K124" s="36" t="n">
        <f aca="false">MAX(0,$K$123-$I124)</f>
        <v>248387556</v>
      </c>
    </row>
    <row r="125" customFormat="false" ht="15" hidden="false" customHeight="false" outlineLevel="0" collapsed="false">
      <c r="A125" s="32" t="n">
        <f aca="false">IF(104&gt;$B$6,"",104)</f>
        <v>104</v>
      </c>
      <c r="B125" s="33" t="n">
        <f aca="false">IF($A125="","",EDATE($B$8,104-1))</f>
        <v>49400</v>
      </c>
      <c r="C125" s="34" t="n">
        <f aca="false">IF($B$7="원리금균등",MAX(0,MIN($G$124,ROUND($B$11,0)-$D125)),IF($B$7="원금균등",MIN($G$124,ROUND($B$4/$B$6,0)),IF(104=$B$6,$G$124,0)))</f>
        <v>597696</v>
      </c>
      <c r="D125" s="34" t="n">
        <f aca="false">ROUND($G$124*$B$10,0)</f>
        <v>869356</v>
      </c>
      <c r="E125" s="34" t="n">
        <f aca="false">IF($A125="",0,$C125+$D125)</f>
        <v>1467052</v>
      </c>
      <c r="F125" s="35"/>
      <c r="G125" s="34" t="n">
        <f aca="false">MAX(0,$G$124-$C125-$F125)</f>
        <v>247789860</v>
      </c>
      <c r="H125" s="32" t="str">
        <f aca="false">IF($B125="","",TEXT($B125,"yyyy-mm"))</f>
        <v>2035-04</v>
      </c>
      <c r="I125" s="36" t="n">
        <f aca="false">IF($B$7="원리금균등",MAX(0,MIN($K$124,ROUND($B$11,0)-$J125)),IF($B$7="원금균등",MIN($K$124,ROUND($B$4/$B$6,0)),IF(104=$B$6,$K$124,0)))</f>
        <v>597696</v>
      </c>
      <c r="J125" s="36" t="n">
        <f aca="false">ROUND($K$124*$B$10,0)</f>
        <v>869356</v>
      </c>
      <c r="K125" s="36" t="n">
        <f aca="false">MAX(0,$K$124-$I125)</f>
        <v>247789860</v>
      </c>
    </row>
    <row r="126" customFormat="false" ht="15" hidden="false" customHeight="false" outlineLevel="0" collapsed="false">
      <c r="A126" s="32" t="n">
        <f aca="false">IF(105&gt;$B$6,"",105)</f>
        <v>105</v>
      </c>
      <c r="B126" s="33" t="n">
        <f aca="false">IF($A126="","",EDATE($B$8,105-1))</f>
        <v>49430</v>
      </c>
      <c r="C126" s="34" t="n">
        <f aca="false">IF($B$7="원리금균등",MAX(0,MIN($G$125,ROUND($B$11,0)-$D126)),IF($B$7="원금균등",MIN($G$125,ROUND($B$4/$B$6,0)),IF(105=$B$6,$G$125,0)))</f>
        <v>599787</v>
      </c>
      <c r="D126" s="34" t="n">
        <f aca="false">ROUND($G$125*$B$10,0)</f>
        <v>867265</v>
      </c>
      <c r="E126" s="34" t="n">
        <f aca="false">IF($A126="",0,$C126+$D126)</f>
        <v>1467052</v>
      </c>
      <c r="F126" s="35"/>
      <c r="G126" s="34" t="n">
        <f aca="false">MAX(0,$G$125-$C126-$F126)</f>
        <v>247190073</v>
      </c>
      <c r="H126" s="32" t="str">
        <f aca="false">IF($B126="","",TEXT($B126,"yyyy-mm"))</f>
        <v>2035-05</v>
      </c>
      <c r="I126" s="36" t="n">
        <f aca="false">IF($B$7="원리금균등",MAX(0,MIN($K$125,ROUND($B$11,0)-$J126)),IF($B$7="원금균등",MIN($K$125,ROUND($B$4/$B$6,0)),IF(105=$B$6,$K$125,0)))</f>
        <v>599787</v>
      </c>
      <c r="J126" s="36" t="n">
        <f aca="false">ROUND($K$125*$B$10,0)</f>
        <v>867265</v>
      </c>
      <c r="K126" s="36" t="n">
        <f aca="false">MAX(0,$K$125-$I126)</f>
        <v>247190073</v>
      </c>
    </row>
    <row r="127" customFormat="false" ht="15" hidden="false" customHeight="false" outlineLevel="0" collapsed="false">
      <c r="A127" s="32" t="n">
        <f aca="false">IF(106&gt;$B$6,"",106)</f>
        <v>106</v>
      </c>
      <c r="B127" s="33" t="n">
        <f aca="false">IF($A127="","",EDATE($B$8,106-1))</f>
        <v>49461</v>
      </c>
      <c r="C127" s="34" t="n">
        <f aca="false">IF($B$7="원리금균등",MAX(0,MIN($G$126,ROUND($B$11,0)-$D127)),IF($B$7="원금균등",MIN($G$126,ROUND($B$4/$B$6,0)),IF(106=$B$6,$G$126,0)))</f>
        <v>601887</v>
      </c>
      <c r="D127" s="34" t="n">
        <f aca="false">ROUND($G$126*$B$10,0)</f>
        <v>865165</v>
      </c>
      <c r="E127" s="34" t="n">
        <f aca="false">IF($A127="",0,$C127+$D127)</f>
        <v>1467052</v>
      </c>
      <c r="F127" s="35"/>
      <c r="G127" s="34" t="n">
        <f aca="false">MAX(0,$G$126-$C127-$F127)</f>
        <v>246588186</v>
      </c>
      <c r="H127" s="32" t="str">
        <f aca="false">IF($B127="","",TEXT($B127,"yyyy-mm"))</f>
        <v>2035-06</v>
      </c>
      <c r="I127" s="36" t="n">
        <f aca="false">IF($B$7="원리금균등",MAX(0,MIN($K$126,ROUND($B$11,0)-$J127)),IF($B$7="원금균등",MIN($K$126,ROUND($B$4/$B$6,0)),IF(106=$B$6,$K$126,0)))</f>
        <v>601887</v>
      </c>
      <c r="J127" s="36" t="n">
        <f aca="false">ROUND($K$126*$B$10,0)</f>
        <v>865165</v>
      </c>
      <c r="K127" s="36" t="n">
        <f aca="false">MAX(0,$K$126-$I127)</f>
        <v>246588186</v>
      </c>
    </row>
    <row r="128" customFormat="false" ht="15" hidden="false" customHeight="false" outlineLevel="0" collapsed="false">
      <c r="A128" s="32" t="n">
        <f aca="false">IF(107&gt;$B$6,"",107)</f>
        <v>107</v>
      </c>
      <c r="B128" s="33" t="n">
        <f aca="false">IF($A128="","",EDATE($B$8,107-1))</f>
        <v>49491</v>
      </c>
      <c r="C128" s="34" t="n">
        <f aca="false">IF($B$7="원리금균등",MAX(0,MIN($G$127,ROUND($B$11,0)-$D128)),IF($B$7="원금균등",MIN($G$127,ROUND($B$4/$B$6,0)),IF(107=$B$6,$G$127,0)))</f>
        <v>603993</v>
      </c>
      <c r="D128" s="34" t="n">
        <f aca="false">ROUND($G$127*$B$10,0)</f>
        <v>863059</v>
      </c>
      <c r="E128" s="34" t="n">
        <f aca="false">IF($A128="",0,$C128+$D128)</f>
        <v>1467052</v>
      </c>
      <c r="F128" s="35"/>
      <c r="G128" s="34" t="n">
        <f aca="false">MAX(0,$G$127-$C128-$F128)</f>
        <v>245984193</v>
      </c>
      <c r="H128" s="32" t="str">
        <f aca="false">IF($B128="","",TEXT($B128,"yyyy-mm"))</f>
        <v>2035-07</v>
      </c>
      <c r="I128" s="36" t="n">
        <f aca="false">IF($B$7="원리금균등",MAX(0,MIN($K$127,ROUND($B$11,0)-$J128)),IF($B$7="원금균등",MIN($K$127,ROUND($B$4/$B$6,0)),IF(107=$B$6,$K$127,0)))</f>
        <v>603993</v>
      </c>
      <c r="J128" s="36" t="n">
        <f aca="false">ROUND($K$127*$B$10,0)</f>
        <v>863059</v>
      </c>
      <c r="K128" s="36" t="n">
        <f aca="false">MAX(0,$K$127-$I128)</f>
        <v>245984193</v>
      </c>
    </row>
    <row r="129" customFormat="false" ht="15" hidden="false" customHeight="false" outlineLevel="0" collapsed="false">
      <c r="A129" s="32" t="n">
        <f aca="false">IF(108&gt;$B$6,"",108)</f>
        <v>108</v>
      </c>
      <c r="B129" s="33" t="n">
        <f aca="false">IF($A129="","",EDATE($B$8,108-1))</f>
        <v>49522</v>
      </c>
      <c r="C129" s="34" t="n">
        <f aca="false">IF($B$7="원리금균등",MAX(0,MIN($G$128,ROUND($B$11,0)-$D129)),IF($B$7="원금균등",MIN($G$128,ROUND($B$4/$B$6,0)),IF(108=$B$6,$G$128,0)))</f>
        <v>606107</v>
      </c>
      <c r="D129" s="34" t="n">
        <f aca="false">ROUND($G$128*$B$10,0)</f>
        <v>860945</v>
      </c>
      <c r="E129" s="34" t="n">
        <f aca="false">IF($A129="",0,$C129+$D129)</f>
        <v>1467052</v>
      </c>
      <c r="F129" s="35"/>
      <c r="G129" s="34" t="n">
        <f aca="false">MAX(0,$G$128-$C129-$F129)</f>
        <v>245378086</v>
      </c>
      <c r="H129" s="32" t="str">
        <f aca="false">IF($B129="","",TEXT($B129,"yyyy-mm"))</f>
        <v>2035-08</v>
      </c>
      <c r="I129" s="36" t="n">
        <f aca="false">IF($B$7="원리금균등",MAX(0,MIN($K$128,ROUND($B$11,0)-$J129)),IF($B$7="원금균등",MIN($K$128,ROUND($B$4/$B$6,0)),IF(108=$B$6,$K$128,0)))</f>
        <v>606107</v>
      </c>
      <c r="J129" s="36" t="n">
        <f aca="false">ROUND($K$128*$B$10,0)</f>
        <v>860945</v>
      </c>
      <c r="K129" s="36" t="n">
        <f aca="false">MAX(0,$K$128-$I129)</f>
        <v>245378086</v>
      </c>
    </row>
    <row r="130" customFormat="false" ht="15" hidden="false" customHeight="false" outlineLevel="0" collapsed="false">
      <c r="A130" s="32" t="n">
        <f aca="false">IF(109&gt;$B$6,"",109)</f>
        <v>109</v>
      </c>
      <c r="B130" s="33" t="n">
        <f aca="false">IF($A130="","",EDATE($B$8,109-1))</f>
        <v>49553</v>
      </c>
      <c r="C130" s="34" t="n">
        <f aca="false">IF($B$7="원리금균등",MAX(0,MIN($G$129,ROUND($B$11,0)-$D130)),IF($B$7="원금균등",MIN($G$129,ROUND($B$4/$B$6,0)),IF(109=$B$6,$G$129,0)))</f>
        <v>608229</v>
      </c>
      <c r="D130" s="34" t="n">
        <f aca="false">ROUND($G$129*$B$10,0)</f>
        <v>858823</v>
      </c>
      <c r="E130" s="34" t="n">
        <f aca="false">IF($A130="",0,$C130+$D130)</f>
        <v>1467052</v>
      </c>
      <c r="F130" s="35"/>
      <c r="G130" s="34" t="n">
        <f aca="false">MAX(0,$G$129-$C130-$F130)</f>
        <v>244769857</v>
      </c>
      <c r="H130" s="32" t="str">
        <f aca="false">IF($B130="","",TEXT($B130,"yyyy-mm"))</f>
        <v>2035-09</v>
      </c>
      <c r="I130" s="36" t="n">
        <f aca="false">IF($B$7="원리금균등",MAX(0,MIN($K$129,ROUND($B$11,0)-$J130)),IF($B$7="원금균등",MIN($K$129,ROUND($B$4/$B$6,0)),IF(109=$B$6,$K$129,0)))</f>
        <v>608229</v>
      </c>
      <c r="J130" s="36" t="n">
        <f aca="false">ROUND($K$129*$B$10,0)</f>
        <v>858823</v>
      </c>
      <c r="K130" s="36" t="n">
        <f aca="false">MAX(0,$K$129-$I130)</f>
        <v>244769857</v>
      </c>
    </row>
    <row r="131" customFormat="false" ht="15" hidden="false" customHeight="false" outlineLevel="0" collapsed="false">
      <c r="A131" s="32" t="n">
        <f aca="false">IF(110&gt;$B$6,"",110)</f>
        <v>110</v>
      </c>
      <c r="B131" s="33" t="n">
        <f aca="false">IF($A131="","",EDATE($B$8,110-1))</f>
        <v>49583</v>
      </c>
      <c r="C131" s="34" t="n">
        <f aca="false">IF($B$7="원리금균등",MAX(0,MIN($G$130,ROUND($B$11,0)-$D131)),IF($B$7="원금균등",MIN($G$130,ROUND($B$4/$B$6,0)),IF(110=$B$6,$G$130,0)))</f>
        <v>610358</v>
      </c>
      <c r="D131" s="34" t="n">
        <f aca="false">ROUND($G$130*$B$10,0)</f>
        <v>856694</v>
      </c>
      <c r="E131" s="34" t="n">
        <f aca="false">IF($A131="",0,$C131+$D131)</f>
        <v>1467052</v>
      </c>
      <c r="F131" s="35"/>
      <c r="G131" s="34" t="n">
        <f aca="false">MAX(0,$G$130-$C131-$F131)</f>
        <v>244159499</v>
      </c>
      <c r="H131" s="32" t="str">
        <f aca="false">IF($B131="","",TEXT($B131,"yyyy-mm"))</f>
        <v>2035-10</v>
      </c>
      <c r="I131" s="36" t="n">
        <f aca="false">IF($B$7="원리금균등",MAX(0,MIN($K$130,ROUND($B$11,0)-$J131)),IF($B$7="원금균등",MIN($K$130,ROUND($B$4/$B$6,0)),IF(110=$B$6,$K$130,0)))</f>
        <v>610358</v>
      </c>
      <c r="J131" s="36" t="n">
        <f aca="false">ROUND($K$130*$B$10,0)</f>
        <v>856694</v>
      </c>
      <c r="K131" s="36" t="n">
        <f aca="false">MAX(0,$K$130-$I131)</f>
        <v>244159499</v>
      </c>
    </row>
    <row r="132" customFormat="false" ht="15" hidden="false" customHeight="false" outlineLevel="0" collapsed="false">
      <c r="A132" s="32" t="n">
        <f aca="false">IF(111&gt;$B$6,"",111)</f>
        <v>111</v>
      </c>
      <c r="B132" s="33" t="n">
        <f aca="false">IF($A132="","",EDATE($B$8,111-1))</f>
        <v>49614</v>
      </c>
      <c r="C132" s="34" t="n">
        <f aca="false">IF($B$7="원리금균등",MAX(0,MIN($G$131,ROUND($B$11,0)-$D132)),IF($B$7="원금균등",MIN($G$131,ROUND($B$4/$B$6,0)),IF(111=$B$6,$G$131,0)))</f>
        <v>612494</v>
      </c>
      <c r="D132" s="34" t="n">
        <f aca="false">ROUND($G$131*$B$10,0)</f>
        <v>854558</v>
      </c>
      <c r="E132" s="34" t="n">
        <f aca="false">IF($A132="",0,$C132+$D132)</f>
        <v>1467052</v>
      </c>
      <c r="F132" s="35"/>
      <c r="G132" s="34" t="n">
        <f aca="false">MAX(0,$G$131-$C132-$F132)</f>
        <v>243547005</v>
      </c>
      <c r="H132" s="32" t="str">
        <f aca="false">IF($B132="","",TEXT($B132,"yyyy-mm"))</f>
        <v>2035-11</v>
      </c>
      <c r="I132" s="36" t="n">
        <f aca="false">IF($B$7="원리금균등",MAX(0,MIN($K$131,ROUND($B$11,0)-$J132)),IF($B$7="원금균등",MIN($K$131,ROUND($B$4/$B$6,0)),IF(111=$B$6,$K$131,0)))</f>
        <v>612494</v>
      </c>
      <c r="J132" s="36" t="n">
        <f aca="false">ROUND($K$131*$B$10,0)</f>
        <v>854558</v>
      </c>
      <c r="K132" s="36" t="n">
        <f aca="false">MAX(0,$K$131-$I132)</f>
        <v>243547005</v>
      </c>
    </row>
    <row r="133" customFormat="false" ht="15" hidden="false" customHeight="false" outlineLevel="0" collapsed="false">
      <c r="A133" s="32" t="n">
        <f aca="false">IF(112&gt;$B$6,"",112)</f>
        <v>112</v>
      </c>
      <c r="B133" s="33" t="n">
        <f aca="false">IF($A133="","",EDATE($B$8,112-1))</f>
        <v>49644</v>
      </c>
      <c r="C133" s="34" t="n">
        <f aca="false">IF($B$7="원리금균등",MAX(0,MIN($G$132,ROUND($B$11,0)-$D133)),IF($B$7="원금균등",MIN($G$132,ROUND($B$4/$B$6,0)),IF(112=$B$6,$G$132,0)))</f>
        <v>614637</v>
      </c>
      <c r="D133" s="34" t="n">
        <f aca="false">ROUND($G$132*$B$10,0)</f>
        <v>852415</v>
      </c>
      <c r="E133" s="34" t="n">
        <f aca="false">IF($A133="",0,$C133+$D133)</f>
        <v>1467052</v>
      </c>
      <c r="F133" s="35"/>
      <c r="G133" s="34" t="n">
        <f aca="false">MAX(0,$G$132-$C133-$F133)</f>
        <v>242932368</v>
      </c>
      <c r="H133" s="32" t="str">
        <f aca="false">IF($B133="","",TEXT($B133,"yyyy-mm"))</f>
        <v>2035-12</v>
      </c>
      <c r="I133" s="36" t="n">
        <f aca="false">IF($B$7="원리금균등",MAX(0,MIN($K$132,ROUND($B$11,0)-$J133)),IF($B$7="원금균등",MIN($K$132,ROUND($B$4/$B$6,0)),IF(112=$B$6,$K$132,0)))</f>
        <v>614637</v>
      </c>
      <c r="J133" s="36" t="n">
        <f aca="false">ROUND($K$132*$B$10,0)</f>
        <v>852415</v>
      </c>
      <c r="K133" s="36" t="n">
        <f aca="false">MAX(0,$K$132-$I133)</f>
        <v>242932368</v>
      </c>
    </row>
    <row r="134" customFormat="false" ht="15" hidden="false" customHeight="false" outlineLevel="0" collapsed="false">
      <c r="A134" s="32" t="n">
        <f aca="false">IF(113&gt;$B$6,"",113)</f>
        <v>113</v>
      </c>
      <c r="B134" s="33" t="n">
        <f aca="false">IF($A134="","",EDATE($B$8,113-1))</f>
        <v>49675</v>
      </c>
      <c r="C134" s="34" t="n">
        <f aca="false">IF($B$7="원리금균등",MAX(0,MIN($G$133,ROUND($B$11,0)-$D134)),IF($B$7="원금균등",MIN($G$133,ROUND($B$4/$B$6,0)),IF(113=$B$6,$G$133,0)))</f>
        <v>616789</v>
      </c>
      <c r="D134" s="34" t="n">
        <f aca="false">ROUND($G$133*$B$10,0)</f>
        <v>850263</v>
      </c>
      <c r="E134" s="34" t="n">
        <f aca="false">IF($A134="",0,$C134+$D134)</f>
        <v>1467052</v>
      </c>
      <c r="F134" s="35"/>
      <c r="G134" s="34" t="n">
        <f aca="false">MAX(0,$G$133-$C134-$F134)</f>
        <v>242315579</v>
      </c>
      <c r="H134" s="32" t="str">
        <f aca="false">IF($B134="","",TEXT($B134,"yyyy-mm"))</f>
        <v>2036-01</v>
      </c>
      <c r="I134" s="36" t="n">
        <f aca="false">IF($B$7="원리금균등",MAX(0,MIN($K$133,ROUND($B$11,0)-$J134)),IF($B$7="원금균등",MIN($K$133,ROUND($B$4/$B$6,0)),IF(113=$B$6,$K$133,0)))</f>
        <v>616789</v>
      </c>
      <c r="J134" s="36" t="n">
        <f aca="false">ROUND($K$133*$B$10,0)</f>
        <v>850263</v>
      </c>
      <c r="K134" s="36" t="n">
        <f aca="false">MAX(0,$K$133-$I134)</f>
        <v>242315579</v>
      </c>
    </row>
    <row r="135" customFormat="false" ht="15" hidden="false" customHeight="false" outlineLevel="0" collapsed="false">
      <c r="A135" s="32" t="n">
        <f aca="false">IF(114&gt;$B$6,"",114)</f>
        <v>114</v>
      </c>
      <c r="B135" s="33" t="n">
        <f aca="false">IF($A135="","",EDATE($B$8,114-1))</f>
        <v>49706</v>
      </c>
      <c r="C135" s="34" t="n">
        <f aca="false">IF($B$7="원리금균등",MAX(0,MIN($G$134,ROUND($B$11,0)-$D135)),IF($B$7="원금균등",MIN($G$134,ROUND($B$4/$B$6,0)),IF(114=$B$6,$G$134,0)))</f>
        <v>618947</v>
      </c>
      <c r="D135" s="34" t="n">
        <f aca="false">ROUND($G$134*$B$10,0)</f>
        <v>848105</v>
      </c>
      <c r="E135" s="34" t="n">
        <f aca="false">IF($A135="",0,$C135+$D135)</f>
        <v>1467052</v>
      </c>
      <c r="F135" s="35"/>
      <c r="G135" s="34" t="n">
        <f aca="false">MAX(0,$G$134-$C135-$F135)</f>
        <v>241696632</v>
      </c>
      <c r="H135" s="32" t="str">
        <f aca="false">IF($B135="","",TEXT($B135,"yyyy-mm"))</f>
        <v>2036-02</v>
      </c>
      <c r="I135" s="36" t="n">
        <f aca="false">IF($B$7="원리금균등",MAX(0,MIN($K$134,ROUND($B$11,0)-$J135)),IF($B$7="원금균등",MIN($K$134,ROUND($B$4/$B$6,0)),IF(114=$B$6,$K$134,0)))</f>
        <v>618947</v>
      </c>
      <c r="J135" s="36" t="n">
        <f aca="false">ROUND($K$134*$B$10,0)</f>
        <v>848105</v>
      </c>
      <c r="K135" s="36" t="n">
        <f aca="false">MAX(0,$K$134-$I135)</f>
        <v>241696632</v>
      </c>
    </row>
    <row r="136" customFormat="false" ht="15" hidden="false" customHeight="false" outlineLevel="0" collapsed="false">
      <c r="A136" s="32" t="n">
        <f aca="false">IF(115&gt;$B$6,"",115)</f>
        <v>115</v>
      </c>
      <c r="B136" s="33" t="n">
        <f aca="false">IF($A136="","",EDATE($B$8,115-1))</f>
        <v>49735</v>
      </c>
      <c r="C136" s="34" t="n">
        <f aca="false">IF($B$7="원리금균등",MAX(0,MIN($G$135,ROUND($B$11,0)-$D136)),IF($B$7="원금균등",MIN($G$135,ROUND($B$4/$B$6,0)),IF(115=$B$6,$G$135,0)))</f>
        <v>621114</v>
      </c>
      <c r="D136" s="34" t="n">
        <f aca="false">ROUND($G$135*$B$10,0)</f>
        <v>845938</v>
      </c>
      <c r="E136" s="34" t="n">
        <f aca="false">IF($A136="",0,$C136+$D136)</f>
        <v>1467052</v>
      </c>
      <c r="F136" s="35"/>
      <c r="G136" s="34" t="n">
        <f aca="false">MAX(0,$G$135-$C136-$F136)</f>
        <v>241075518</v>
      </c>
      <c r="H136" s="32" t="str">
        <f aca="false">IF($B136="","",TEXT($B136,"yyyy-mm"))</f>
        <v>2036-03</v>
      </c>
      <c r="I136" s="36" t="n">
        <f aca="false">IF($B$7="원리금균등",MAX(0,MIN($K$135,ROUND($B$11,0)-$J136)),IF($B$7="원금균등",MIN($K$135,ROUND($B$4/$B$6,0)),IF(115=$B$6,$K$135,0)))</f>
        <v>621114</v>
      </c>
      <c r="J136" s="36" t="n">
        <f aca="false">ROUND($K$135*$B$10,0)</f>
        <v>845938</v>
      </c>
      <c r="K136" s="36" t="n">
        <f aca="false">MAX(0,$K$135-$I136)</f>
        <v>241075518</v>
      </c>
    </row>
    <row r="137" customFormat="false" ht="15" hidden="false" customHeight="false" outlineLevel="0" collapsed="false">
      <c r="A137" s="32" t="n">
        <f aca="false">IF(116&gt;$B$6,"",116)</f>
        <v>116</v>
      </c>
      <c r="B137" s="33" t="n">
        <f aca="false">IF($A137="","",EDATE($B$8,116-1))</f>
        <v>49766</v>
      </c>
      <c r="C137" s="34" t="n">
        <f aca="false">IF($B$7="원리금균등",MAX(0,MIN($G$136,ROUND($B$11,0)-$D137)),IF($B$7="원금균등",MIN($G$136,ROUND($B$4/$B$6,0)),IF(116=$B$6,$G$136,0)))</f>
        <v>623288</v>
      </c>
      <c r="D137" s="34" t="n">
        <f aca="false">ROUND($G$136*$B$10,0)</f>
        <v>843764</v>
      </c>
      <c r="E137" s="34" t="n">
        <f aca="false">IF($A137="",0,$C137+$D137)</f>
        <v>1467052</v>
      </c>
      <c r="F137" s="35"/>
      <c r="G137" s="34" t="n">
        <f aca="false">MAX(0,$G$136-$C137-$F137)</f>
        <v>240452230</v>
      </c>
      <c r="H137" s="32" t="str">
        <f aca="false">IF($B137="","",TEXT($B137,"yyyy-mm"))</f>
        <v>2036-04</v>
      </c>
      <c r="I137" s="36" t="n">
        <f aca="false">IF($B$7="원리금균등",MAX(0,MIN($K$136,ROUND($B$11,0)-$J137)),IF($B$7="원금균등",MIN($K$136,ROUND($B$4/$B$6,0)),IF(116=$B$6,$K$136,0)))</f>
        <v>623288</v>
      </c>
      <c r="J137" s="36" t="n">
        <f aca="false">ROUND($K$136*$B$10,0)</f>
        <v>843764</v>
      </c>
      <c r="K137" s="36" t="n">
        <f aca="false">MAX(0,$K$136-$I137)</f>
        <v>240452230</v>
      </c>
    </row>
    <row r="138" customFormat="false" ht="15" hidden="false" customHeight="false" outlineLevel="0" collapsed="false">
      <c r="A138" s="32" t="n">
        <f aca="false">IF(117&gt;$B$6,"",117)</f>
        <v>117</v>
      </c>
      <c r="B138" s="33" t="n">
        <f aca="false">IF($A138="","",EDATE($B$8,117-1))</f>
        <v>49796</v>
      </c>
      <c r="C138" s="34" t="n">
        <f aca="false">IF($B$7="원리금균등",MAX(0,MIN($G$137,ROUND($B$11,0)-$D138)),IF($B$7="원금균등",MIN($G$137,ROUND($B$4/$B$6,0)),IF(117=$B$6,$G$137,0)))</f>
        <v>625469</v>
      </c>
      <c r="D138" s="34" t="n">
        <f aca="false">ROUND($G$137*$B$10,0)</f>
        <v>841583</v>
      </c>
      <c r="E138" s="34" t="n">
        <f aca="false">IF($A138="",0,$C138+$D138)</f>
        <v>1467052</v>
      </c>
      <c r="F138" s="35"/>
      <c r="G138" s="34" t="n">
        <f aca="false">MAX(0,$G$137-$C138-$F138)</f>
        <v>239826761</v>
      </c>
      <c r="H138" s="32" t="str">
        <f aca="false">IF($B138="","",TEXT($B138,"yyyy-mm"))</f>
        <v>2036-05</v>
      </c>
      <c r="I138" s="36" t="n">
        <f aca="false">IF($B$7="원리금균등",MAX(0,MIN($K$137,ROUND($B$11,0)-$J138)),IF($B$7="원금균등",MIN($K$137,ROUND($B$4/$B$6,0)),IF(117=$B$6,$K$137,0)))</f>
        <v>625469</v>
      </c>
      <c r="J138" s="36" t="n">
        <f aca="false">ROUND($K$137*$B$10,0)</f>
        <v>841583</v>
      </c>
      <c r="K138" s="36" t="n">
        <f aca="false">MAX(0,$K$137-$I138)</f>
        <v>239826761</v>
      </c>
    </row>
    <row r="139" customFormat="false" ht="15" hidden="false" customHeight="false" outlineLevel="0" collapsed="false">
      <c r="A139" s="32" t="n">
        <f aca="false">IF(118&gt;$B$6,"",118)</f>
        <v>118</v>
      </c>
      <c r="B139" s="33" t="n">
        <f aca="false">IF($A139="","",EDATE($B$8,118-1))</f>
        <v>49827</v>
      </c>
      <c r="C139" s="34" t="n">
        <f aca="false">IF($B$7="원리금균등",MAX(0,MIN($G$138,ROUND($B$11,0)-$D139)),IF($B$7="원금균등",MIN($G$138,ROUND($B$4/$B$6,0)),IF(118=$B$6,$G$138,0)))</f>
        <v>627658</v>
      </c>
      <c r="D139" s="34" t="n">
        <f aca="false">ROUND($G$138*$B$10,0)</f>
        <v>839394</v>
      </c>
      <c r="E139" s="34" t="n">
        <f aca="false">IF($A139="",0,$C139+$D139)</f>
        <v>1467052</v>
      </c>
      <c r="F139" s="35"/>
      <c r="G139" s="34" t="n">
        <f aca="false">MAX(0,$G$138-$C139-$F139)</f>
        <v>239199103</v>
      </c>
      <c r="H139" s="32" t="str">
        <f aca="false">IF($B139="","",TEXT($B139,"yyyy-mm"))</f>
        <v>2036-06</v>
      </c>
      <c r="I139" s="36" t="n">
        <f aca="false">IF($B$7="원리금균등",MAX(0,MIN($K$138,ROUND($B$11,0)-$J139)),IF($B$7="원금균등",MIN($K$138,ROUND($B$4/$B$6,0)),IF(118=$B$6,$K$138,0)))</f>
        <v>627658</v>
      </c>
      <c r="J139" s="36" t="n">
        <f aca="false">ROUND($K$138*$B$10,0)</f>
        <v>839394</v>
      </c>
      <c r="K139" s="36" t="n">
        <f aca="false">MAX(0,$K$138-$I139)</f>
        <v>239199103</v>
      </c>
    </row>
    <row r="140" customFormat="false" ht="15" hidden="false" customHeight="false" outlineLevel="0" collapsed="false">
      <c r="A140" s="32" t="n">
        <f aca="false">IF(119&gt;$B$6,"",119)</f>
        <v>119</v>
      </c>
      <c r="B140" s="33" t="n">
        <f aca="false">IF($A140="","",EDATE($B$8,119-1))</f>
        <v>49857</v>
      </c>
      <c r="C140" s="34" t="n">
        <f aca="false">IF($B$7="원리금균등",MAX(0,MIN($G$139,ROUND($B$11,0)-$D140)),IF($B$7="원금균등",MIN($G$139,ROUND($B$4/$B$6,0)),IF(119=$B$6,$G$139,0)))</f>
        <v>629855</v>
      </c>
      <c r="D140" s="34" t="n">
        <f aca="false">ROUND($G$139*$B$10,0)</f>
        <v>837197</v>
      </c>
      <c r="E140" s="34" t="n">
        <f aca="false">IF($A140="",0,$C140+$D140)</f>
        <v>1467052</v>
      </c>
      <c r="F140" s="35"/>
      <c r="G140" s="34" t="n">
        <f aca="false">MAX(0,$G$139-$C140-$F140)</f>
        <v>238569248</v>
      </c>
      <c r="H140" s="32" t="str">
        <f aca="false">IF($B140="","",TEXT($B140,"yyyy-mm"))</f>
        <v>2036-07</v>
      </c>
      <c r="I140" s="36" t="n">
        <f aca="false">IF($B$7="원리금균등",MAX(0,MIN($K$139,ROUND($B$11,0)-$J140)),IF($B$7="원금균등",MIN($K$139,ROUND($B$4/$B$6,0)),IF(119=$B$6,$K$139,0)))</f>
        <v>629855</v>
      </c>
      <c r="J140" s="36" t="n">
        <f aca="false">ROUND($K$139*$B$10,0)</f>
        <v>837197</v>
      </c>
      <c r="K140" s="36" t="n">
        <f aca="false">MAX(0,$K$139-$I140)</f>
        <v>238569248</v>
      </c>
    </row>
    <row r="141" customFormat="false" ht="15" hidden="false" customHeight="false" outlineLevel="0" collapsed="false">
      <c r="A141" s="32" t="n">
        <f aca="false">IF(120&gt;$B$6,"",120)</f>
        <v>120</v>
      </c>
      <c r="B141" s="33" t="n">
        <f aca="false">IF($A141="","",EDATE($B$8,120-1))</f>
        <v>49888</v>
      </c>
      <c r="C141" s="34" t="n">
        <f aca="false">IF($B$7="원리금균등",MAX(0,MIN($G$140,ROUND($B$11,0)-$D141)),IF($B$7="원금균등",MIN($G$140,ROUND($B$4/$B$6,0)),IF(120=$B$6,$G$140,0)))</f>
        <v>632060</v>
      </c>
      <c r="D141" s="34" t="n">
        <f aca="false">ROUND($G$140*$B$10,0)</f>
        <v>834992</v>
      </c>
      <c r="E141" s="34" t="n">
        <f aca="false">IF($A141="",0,$C141+$D141)</f>
        <v>1467052</v>
      </c>
      <c r="F141" s="35"/>
      <c r="G141" s="34" t="n">
        <f aca="false">MAX(0,$G$140-$C141-$F141)</f>
        <v>237937188</v>
      </c>
      <c r="H141" s="32" t="str">
        <f aca="false">IF($B141="","",TEXT($B141,"yyyy-mm"))</f>
        <v>2036-08</v>
      </c>
      <c r="I141" s="36" t="n">
        <f aca="false">IF($B$7="원리금균등",MAX(0,MIN($K$140,ROUND($B$11,0)-$J141)),IF($B$7="원금균등",MIN($K$140,ROUND($B$4/$B$6,0)),IF(120=$B$6,$K$140,0)))</f>
        <v>632060</v>
      </c>
      <c r="J141" s="36" t="n">
        <f aca="false">ROUND($K$140*$B$10,0)</f>
        <v>834992</v>
      </c>
      <c r="K141" s="36" t="n">
        <f aca="false">MAX(0,$K$140-$I141)</f>
        <v>237937188</v>
      </c>
    </row>
    <row r="142" customFormat="false" ht="15" hidden="false" customHeight="false" outlineLevel="0" collapsed="false">
      <c r="A142" s="32" t="n">
        <f aca="false">IF(121&gt;$B$6,"",121)</f>
        <v>121</v>
      </c>
      <c r="B142" s="33" t="n">
        <f aca="false">IF($A142="","",EDATE($B$8,121-1))</f>
        <v>49919</v>
      </c>
      <c r="C142" s="34" t="n">
        <f aca="false">IF($B$7="원리금균등",MAX(0,MIN($G$141,ROUND($B$11,0)-$D142)),IF($B$7="원금균등",MIN($G$141,ROUND($B$4/$B$6,0)),IF(121=$B$6,$G$141,0)))</f>
        <v>634272</v>
      </c>
      <c r="D142" s="34" t="n">
        <f aca="false">ROUND($G$141*$B$10,0)</f>
        <v>832780</v>
      </c>
      <c r="E142" s="34" t="n">
        <f aca="false">IF($A142="",0,$C142+$D142)</f>
        <v>1467052</v>
      </c>
      <c r="F142" s="35"/>
      <c r="G142" s="34" t="n">
        <f aca="false">MAX(0,$G$141-$C142-$F142)</f>
        <v>237302916</v>
      </c>
      <c r="H142" s="32" t="str">
        <f aca="false">IF($B142="","",TEXT($B142,"yyyy-mm"))</f>
        <v>2036-09</v>
      </c>
      <c r="I142" s="36" t="n">
        <f aca="false">IF($B$7="원리금균등",MAX(0,MIN($K$141,ROUND($B$11,0)-$J142)),IF($B$7="원금균등",MIN($K$141,ROUND($B$4/$B$6,0)),IF(121=$B$6,$K$141,0)))</f>
        <v>634272</v>
      </c>
      <c r="J142" s="36" t="n">
        <f aca="false">ROUND($K$141*$B$10,0)</f>
        <v>832780</v>
      </c>
      <c r="K142" s="36" t="n">
        <f aca="false">MAX(0,$K$141-$I142)</f>
        <v>237302916</v>
      </c>
    </row>
    <row r="143" customFormat="false" ht="15" hidden="false" customHeight="false" outlineLevel="0" collapsed="false">
      <c r="A143" s="32" t="n">
        <f aca="false">IF(122&gt;$B$6,"",122)</f>
        <v>122</v>
      </c>
      <c r="B143" s="33" t="n">
        <f aca="false">IF($A143="","",EDATE($B$8,122-1))</f>
        <v>49949</v>
      </c>
      <c r="C143" s="34" t="n">
        <f aca="false">IF($B$7="원리금균등",MAX(0,MIN($G$142,ROUND($B$11,0)-$D143)),IF($B$7="원금균등",MIN($G$142,ROUND($B$4/$B$6,0)),IF(122=$B$6,$G$142,0)))</f>
        <v>636492</v>
      </c>
      <c r="D143" s="34" t="n">
        <f aca="false">ROUND($G$142*$B$10,0)</f>
        <v>830560</v>
      </c>
      <c r="E143" s="34" t="n">
        <f aca="false">IF($A143="",0,$C143+$D143)</f>
        <v>1467052</v>
      </c>
      <c r="F143" s="35"/>
      <c r="G143" s="34" t="n">
        <f aca="false">MAX(0,$G$142-$C143-$F143)</f>
        <v>236666424</v>
      </c>
      <c r="H143" s="32" t="str">
        <f aca="false">IF($B143="","",TEXT($B143,"yyyy-mm"))</f>
        <v>2036-10</v>
      </c>
      <c r="I143" s="36" t="n">
        <f aca="false">IF($B$7="원리금균등",MAX(0,MIN($K$142,ROUND($B$11,0)-$J143)),IF($B$7="원금균등",MIN($K$142,ROUND($B$4/$B$6,0)),IF(122=$B$6,$K$142,0)))</f>
        <v>636492</v>
      </c>
      <c r="J143" s="36" t="n">
        <f aca="false">ROUND($K$142*$B$10,0)</f>
        <v>830560</v>
      </c>
      <c r="K143" s="36" t="n">
        <f aca="false">MAX(0,$K$142-$I143)</f>
        <v>236666424</v>
      </c>
    </row>
    <row r="144" customFormat="false" ht="15" hidden="false" customHeight="false" outlineLevel="0" collapsed="false">
      <c r="A144" s="32" t="n">
        <f aca="false">IF(123&gt;$B$6,"",123)</f>
        <v>123</v>
      </c>
      <c r="B144" s="33" t="n">
        <f aca="false">IF($A144="","",EDATE($B$8,123-1))</f>
        <v>49980</v>
      </c>
      <c r="C144" s="34" t="n">
        <f aca="false">IF($B$7="원리금균등",MAX(0,MIN($G$143,ROUND($B$11,0)-$D144)),IF($B$7="원금균등",MIN($G$143,ROUND($B$4/$B$6,0)),IF(123=$B$6,$G$143,0)))</f>
        <v>638720</v>
      </c>
      <c r="D144" s="34" t="n">
        <f aca="false">ROUND($G$143*$B$10,0)</f>
        <v>828332</v>
      </c>
      <c r="E144" s="34" t="n">
        <f aca="false">IF($A144="",0,$C144+$D144)</f>
        <v>1467052</v>
      </c>
      <c r="F144" s="35"/>
      <c r="G144" s="34" t="n">
        <f aca="false">MAX(0,$G$143-$C144-$F144)</f>
        <v>236027704</v>
      </c>
      <c r="H144" s="32" t="str">
        <f aca="false">IF($B144="","",TEXT($B144,"yyyy-mm"))</f>
        <v>2036-11</v>
      </c>
      <c r="I144" s="36" t="n">
        <f aca="false">IF($B$7="원리금균등",MAX(0,MIN($K$143,ROUND($B$11,0)-$J144)),IF($B$7="원금균등",MIN($K$143,ROUND($B$4/$B$6,0)),IF(123=$B$6,$K$143,0)))</f>
        <v>638720</v>
      </c>
      <c r="J144" s="36" t="n">
        <f aca="false">ROUND($K$143*$B$10,0)</f>
        <v>828332</v>
      </c>
      <c r="K144" s="36" t="n">
        <f aca="false">MAX(0,$K$143-$I144)</f>
        <v>236027704</v>
      </c>
    </row>
    <row r="145" customFormat="false" ht="15" hidden="false" customHeight="false" outlineLevel="0" collapsed="false">
      <c r="A145" s="32" t="n">
        <f aca="false">IF(124&gt;$B$6,"",124)</f>
        <v>124</v>
      </c>
      <c r="B145" s="33" t="n">
        <f aca="false">IF($A145="","",EDATE($B$8,124-1))</f>
        <v>50010</v>
      </c>
      <c r="C145" s="34" t="n">
        <f aca="false">IF($B$7="원리금균등",MAX(0,MIN($G$144,ROUND($B$11,0)-$D145)),IF($B$7="원금균등",MIN($G$144,ROUND($B$4/$B$6,0)),IF(124=$B$6,$G$144,0)))</f>
        <v>640955</v>
      </c>
      <c r="D145" s="34" t="n">
        <f aca="false">ROUND($G$144*$B$10,0)</f>
        <v>826097</v>
      </c>
      <c r="E145" s="34" t="n">
        <f aca="false">IF($A145="",0,$C145+$D145)</f>
        <v>1467052</v>
      </c>
      <c r="F145" s="35"/>
      <c r="G145" s="34" t="n">
        <f aca="false">MAX(0,$G$144-$C145-$F145)</f>
        <v>235386749</v>
      </c>
      <c r="H145" s="32" t="str">
        <f aca="false">IF($B145="","",TEXT($B145,"yyyy-mm"))</f>
        <v>2036-12</v>
      </c>
      <c r="I145" s="36" t="n">
        <f aca="false">IF($B$7="원리금균등",MAX(0,MIN($K$144,ROUND($B$11,0)-$J145)),IF($B$7="원금균등",MIN($K$144,ROUND($B$4/$B$6,0)),IF(124=$B$6,$K$144,0)))</f>
        <v>640955</v>
      </c>
      <c r="J145" s="36" t="n">
        <f aca="false">ROUND($K$144*$B$10,0)</f>
        <v>826097</v>
      </c>
      <c r="K145" s="36" t="n">
        <f aca="false">MAX(0,$K$144-$I145)</f>
        <v>235386749</v>
      </c>
    </row>
    <row r="146" customFormat="false" ht="15" hidden="false" customHeight="false" outlineLevel="0" collapsed="false">
      <c r="A146" s="32" t="n">
        <f aca="false">IF(125&gt;$B$6,"",125)</f>
        <v>125</v>
      </c>
      <c r="B146" s="33" t="n">
        <f aca="false">IF($A146="","",EDATE($B$8,125-1))</f>
        <v>50041</v>
      </c>
      <c r="C146" s="34" t="n">
        <f aca="false">IF($B$7="원리금균등",MAX(0,MIN($G$145,ROUND($B$11,0)-$D146)),IF($B$7="원금균등",MIN($G$145,ROUND($B$4/$B$6,0)),IF(125=$B$6,$G$145,0)))</f>
        <v>643198</v>
      </c>
      <c r="D146" s="34" t="n">
        <f aca="false">ROUND($G$145*$B$10,0)</f>
        <v>823854</v>
      </c>
      <c r="E146" s="34" t="n">
        <f aca="false">IF($A146="",0,$C146+$D146)</f>
        <v>1467052</v>
      </c>
      <c r="F146" s="35"/>
      <c r="G146" s="34" t="n">
        <f aca="false">MAX(0,$G$145-$C146-$F146)</f>
        <v>234743551</v>
      </c>
      <c r="H146" s="32" t="str">
        <f aca="false">IF($B146="","",TEXT($B146,"yyyy-mm"))</f>
        <v>2037-01</v>
      </c>
      <c r="I146" s="36" t="n">
        <f aca="false">IF($B$7="원리금균등",MAX(0,MIN($K$145,ROUND($B$11,0)-$J146)),IF($B$7="원금균등",MIN($K$145,ROUND($B$4/$B$6,0)),IF(125=$B$6,$K$145,0)))</f>
        <v>643198</v>
      </c>
      <c r="J146" s="36" t="n">
        <f aca="false">ROUND($K$145*$B$10,0)</f>
        <v>823854</v>
      </c>
      <c r="K146" s="36" t="n">
        <f aca="false">MAX(0,$K$145-$I146)</f>
        <v>234743551</v>
      </c>
    </row>
    <row r="147" customFormat="false" ht="15" hidden="false" customHeight="false" outlineLevel="0" collapsed="false">
      <c r="A147" s="32" t="n">
        <f aca="false">IF(126&gt;$B$6,"",126)</f>
        <v>126</v>
      </c>
      <c r="B147" s="33" t="n">
        <f aca="false">IF($A147="","",EDATE($B$8,126-1))</f>
        <v>50072</v>
      </c>
      <c r="C147" s="34" t="n">
        <f aca="false">IF($B$7="원리금균등",MAX(0,MIN($G$146,ROUND($B$11,0)-$D147)),IF($B$7="원금균등",MIN($G$146,ROUND($B$4/$B$6,0)),IF(126=$B$6,$G$146,0)))</f>
        <v>645450</v>
      </c>
      <c r="D147" s="34" t="n">
        <f aca="false">ROUND($G$146*$B$10,0)</f>
        <v>821602</v>
      </c>
      <c r="E147" s="34" t="n">
        <f aca="false">IF($A147="",0,$C147+$D147)</f>
        <v>1467052</v>
      </c>
      <c r="F147" s="35"/>
      <c r="G147" s="34" t="n">
        <f aca="false">MAX(0,$G$146-$C147-$F147)</f>
        <v>234098101</v>
      </c>
      <c r="H147" s="32" t="str">
        <f aca="false">IF($B147="","",TEXT($B147,"yyyy-mm"))</f>
        <v>2037-02</v>
      </c>
      <c r="I147" s="36" t="n">
        <f aca="false">IF($B$7="원리금균등",MAX(0,MIN($K$146,ROUND($B$11,0)-$J147)),IF($B$7="원금균등",MIN($K$146,ROUND($B$4/$B$6,0)),IF(126=$B$6,$K$146,0)))</f>
        <v>645450</v>
      </c>
      <c r="J147" s="36" t="n">
        <f aca="false">ROUND($K$146*$B$10,0)</f>
        <v>821602</v>
      </c>
      <c r="K147" s="36" t="n">
        <f aca="false">MAX(0,$K$146-$I147)</f>
        <v>234098101</v>
      </c>
    </row>
    <row r="148" customFormat="false" ht="15" hidden="false" customHeight="false" outlineLevel="0" collapsed="false">
      <c r="A148" s="32" t="n">
        <f aca="false">IF(127&gt;$B$6,"",127)</f>
        <v>127</v>
      </c>
      <c r="B148" s="33" t="n">
        <f aca="false">IF($A148="","",EDATE($B$8,127-1))</f>
        <v>50100</v>
      </c>
      <c r="C148" s="34" t="n">
        <f aca="false">IF($B$7="원리금균등",MAX(0,MIN($G$147,ROUND($B$11,0)-$D148)),IF($B$7="원금균등",MIN($G$147,ROUND($B$4/$B$6,0)),IF(127=$B$6,$G$147,0)))</f>
        <v>647709</v>
      </c>
      <c r="D148" s="34" t="n">
        <f aca="false">ROUND($G$147*$B$10,0)</f>
        <v>819343</v>
      </c>
      <c r="E148" s="34" t="n">
        <f aca="false">IF($A148="",0,$C148+$D148)</f>
        <v>1467052</v>
      </c>
      <c r="F148" s="35"/>
      <c r="G148" s="34" t="n">
        <f aca="false">MAX(0,$G$147-$C148-$F148)</f>
        <v>233450392</v>
      </c>
      <c r="H148" s="32" t="str">
        <f aca="false">IF($B148="","",TEXT($B148,"yyyy-mm"))</f>
        <v>2037-03</v>
      </c>
      <c r="I148" s="36" t="n">
        <f aca="false">IF($B$7="원리금균등",MAX(0,MIN($K$147,ROUND($B$11,0)-$J148)),IF($B$7="원금균등",MIN($K$147,ROUND($B$4/$B$6,0)),IF(127=$B$6,$K$147,0)))</f>
        <v>647709</v>
      </c>
      <c r="J148" s="36" t="n">
        <f aca="false">ROUND($K$147*$B$10,0)</f>
        <v>819343</v>
      </c>
      <c r="K148" s="36" t="n">
        <f aca="false">MAX(0,$K$147-$I148)</f>
        <v>233450392</v>
      </c>
    </row>
    <row r="149" customFormat="false" ht="15" hidden="false" customHeight="false" outlineLevel="0" collapsed="false">
      <c r="A149" s="32" t="n">
        <f aca="false">IF(128&gt;$B$6,"",128)</f>
        <v>128</v>
      </c>
      <c r="B149" s="33" t="n">
        <f aca="false">IF($A149="","",EDATE($B$8,128-1))</f>
        <v>50131</v>
      </c>
      <c r="C149" s="34" t="n">
        <f aca="false">IF($B$7="원리금균등",MAX(0,MIN($G$148,ROUND($B$11,0)-$D149)),IF($B$7="원금균등",MIN($G$148,ROUND($B$4/$B$6,0)),IF(128=$B$6,$G$148,0)))</f>
        <v>649976</v>
      </c>
      <c r="D149" s="34" t="n">
        <f aca="false">ROUND($G$148*$B$10,0)</f>
        <v>817076</v>
      </c>
      <c r="E149" s="34" t="n">
        <f aca="false">IF($A149="",0,$C149+$D149)</f>
        <v>1467052</v>
      </c>
      <c r="F149" s="35"/>
      <c r="G149" s="34" t="n">
        <f aca="false">MAX(0,$G$148-$C149-$F149)</f>
        <v>232800416</v>
      </c>
      <c r="H149" s="32" t="str">
        <f aca="false">IF($B149="","",TEXT($B149,"yyyy-mm"))</f>
        <v>2037-04</v>
      </c>
      <c r="I149" s="36" t="n">
        <f aca="false">IF($B$7="원리금균등",MAX(0,MIN($K$148,ROUND($B$11,0)-$J149)),IF($B$7="원금균등",MIN($K$148,ROUND($B$4/$B$6,0)),IF(128=$B$6,$K$148,0)))</f>
        <v>649976</v>
      </c>
      <c r="J149" s="36" t="n">
        <f aca="false">ROUND($K$148*$B$10,0)</f>
        <v>817076</v>
      </c>
      <c r="K149" s="36" t="n">
        <f aca="false">MAX(0,$K$148-$I149)</f>
        <v>232800416</v>
      </c>
    </row>
    <row r="150" customFormat="false" ht="15" hidden="false" customHeight="false" outlineLevel="0" collapsed="false">
      <c r="A150" s="32" t="n">
        <f aca="false">IF(129&gt;$B$6,"",129)</f>
        <v>129</v>
      </c>
      <c r="B150" s="33" t="n">
        <f aca="false">IF($A150="","",EDATE($B$8,129-1))</f>
        <v>50161</v>
      </c>
      <c r="C150" s="34" t="n">
        <f aca="false">IF($B$7="원리금균등",MAX(0,MIN($G$149,ROUND($B$11,0)-$D150)),IF($B$7="원금균등",MIN($G$149,ROUND($B$4/$B$6,0)),IF(129=$B$6,$G$149,0)))</f>
        <v>652251</v>
      </c>
      <c r="D150" s="34" t="n">
        <f aca="false">ROUND($G$149*$B$10,0)</f>
        <v>814801</v>
      </c>
      <c r="E150" s="34" t="n">
        <f aca="false">IF($A150="",0,$C150+$D150)</f>
        <v>1467052</v>
      </c>
      <c r="F150" s="35"/>
      <c r="G150" s="34" t="n">
        <f aca="false">MAX(0,$G$149-$C150-$F150)</f>
        <v>232148165</v>
      </c>
      <c r="H150" s="32" t="str">
        <f aca="false">IF($B150="","",TEXT($B150,"yyyy-mm"))</f>
        <v>2037-05</v>
      </c>
      <c r="I150" s="36" t="n">
        <f aca="false">IF($B$7="원리금균등",MAX(0,MIN($K$149,ROUND($B$11,0)-$J150)),IF($B$7="원금균등",MIN($K$149,ROUND($B$4/$B$6,0)),IF(129=$B$6,$K$149,0)))</f>
        <v>652251</v>
      </c>
      <c r="J150" s="36" t="n">
        <f aca="false">ROUND($K$149*$B$10,0)</f>
        <v>814801</v>
      </c>
      <c r="K150" s="36" t="n">
        <f aca="false">MAX(0,$K$149-$I150)</f>
        <v>232148165</v>
      </c>
    </row>
    <row r="151" customFormat="false" ht="15" hidden="false" customHeight="false" outlineLevel="0" collapsed="false">
      <c r="A151" s="32" t="n">
        <f aca="false">IF(130&gt;$B$6,"",130)</f>
        <v>130</v>
      </c>
      <c r="B151" s="33" t="n">
        <f aca="false">IF($A151="","",EDATE($B$8,130-1))</f>
        <v>50192</v>
      </c>
      <c r="C151" s="34" t="n">
        <f aca="false">IF($B$7="원리금균등",MAX(0,MIN($G$150,ROUND($B$11,0)-$D151)),IF($B$7="원금균등",MIN($G$150,ROUND($B$4/$B$6,0)),IF(130=$B$6,$G$150,0)))</f>
        <v>654533</v>
      </c>
      <c r="D151" s="34" t="n">
        <f aca="false">ROUND($G$150*$B$10,0)</f>
        <v>812519</v>
      </c>
      <c r="E151" s="34" t="n">
        <f aca="false">IF($A151="",0,$C151+$D151)</f>
        <v>1467052</v>
      </c>
      <c r="F151" s="35"/>
      <c r="G151" s="34" t="n">
        <f aca="false">MAX(0,$G$150-$C151-$F151)</f>
        <v>231493632</v>
      </c>
      <c r="H151" s="32" t="str">
        <f aca="false">IF($B151="","",TEXT($B151,"yyyy-mm"))</f>
        <v>2037-06</v>
      </c>
      <c r="I151" s="36" t="n">
        <f aca="false">IF($B$7="원리금균등",MAX(0,MIN($K$150,ROUND($B$11,0)-$J151)),IF($B$7="원금균등",MIN($K$150,ROUND($B$4/$B$6,0)),IF(130=$B$6,$K$150,0)))</f>
        <v>654533</v>
      </c>
      <c r="J151" s="36" t="n">
        <f aca="false">ROUND($K$150*$B$10,0)</f>
        <v>812519</v>
      </c>
      <c r="K151" s="36" t="n">
        <f aca="false">MAX(0,$K$150-$I151)</f>
        <v>231493632</v>
      </c>
    </row>
    <row r="152" customFormat="false" ht="15" hidden="false" customHeight="false" outlineLevel="0" collapsed="false">
      <c r="A152" s="32" t="n">
        <f aca="false">IF(131&gt;$B$6,"",131)</f>
        <v>131</v>
      </c>
      <c r="B152" s="33" t="n">
        <f aca="false">IF($A152="","",EDATE($B$8,131-1))</f>
        <v>50222</v>
      </c>
      <c r="C152" s="34" t="n">
        <f aca="false">IF($B$7="원리금균등",MAX(0,MIN($G$151,ROUND($B$11,0)-$D152)),IF($B$7="원금균등",MIN($G$151,ROUND($B$4/$B$6,0)),IF(131=$B$6,$G$151,0)))</f>
        <v>656824</v>
      </c>
      <c r="D152" s="34" t="n">
        <f aca="false">ROUND($G$151*$B$10,0)</f>
        <v>810228</v>
      </c>
      <c r="E152" s="34" t="n">
        <f aca="false">IF($A152="",0,$C152+$D152)</f>
        <v>1467052</v>
      </c>
      <c r="F152" s="35"/>
      <c r="G152" s="34" t="n">
        <f aca="false">MAX(0,$G$151-$C152-$F152)</f>
        <v>230836808</v>
      </c>
      <c r="H152" s="32" t="str">
        <f aca="false">IF($B152="","",TEXT($B152,"yyyy-mm"))</f>
        <v>2037-07</v>
      </c>
      <c r="I152" s="36" t="n">
        <f aca="false">IF($B$7="원리금균등",MAX(0,MIN($K$151,ROUND($B$11,0)-$J152)),IF($B$7="원금균등",MIN($K$151,ROUND($B$4/$B$6,0)),IF(131=$B$6,$K$151,0)))</f>
        <v>656824</v>
      </c>
      <c r="J152" s="36" t="n">
        <f aca="false">ROUND($K$151*$B$10,0)</f>
        <v>810228</v>
      </c>
      <c r="K152" s="36" t="n">
        <f aca="false">MAX(0,$K$151-$I152)</f>
        <v>230836808</v>
      </c>
    </row>
    <row r="153" customFormat="false" ht="15" hidden="false" customHeight="false" outlineLevel="0" collapsed="false">
      <c r="A153" s="32" t="n">
        <f aca="false">IF(132&gt;$B$6,"",132)</f>
        <v>132</v>
      </c>
      <c r="B153" s="33" t="n">
        <f aca="false">IF($A153="","",EDATE($B$8,132-1))</f>
        <v>50253</v>
      </c>
      <c r="C153" s="34" t="n">
        <f aca="false">IF($B$7="원리금균등",MAX(0,MIN($G$152,ROUND($B$11,0)-$D153)),IF($B$7="원금균등",MIN($G$152,ROUND($B$4/$B$6,0)),IF(132=$B$6,$G$152,0)))</f>
        <v>659123</v>
      </c>
      <c r="D153" s="34" t="n">
        <f aca="false">ROUND($G$152*$B$10,0)</f>
        <v>807929</v>
      </c>
      <c r="E153" s="34" t="n">
        <f aca="false">IF($A153="",0,$C153+$D153)</f>
        <v>1467052</v>
      </c>
      <c r="F153" s="35"/>
      <c r="G153" s="34" t="n">
        <f aca="false">MAX(0,$G$152-$C153-$F153)</f>
        <v>230177685</v>
      </c>
      <c r="H153" s="32" t="str">
        <f aca="false">IF($B153="","",TEXT($B153,"yyyy-mm"))</f>
        <v>2037-08</v>
      </c>
      <c r="I153" s="36" t="n">
        <f aca="false">IF($B$7="원리금균등",MAX(0,MIN($K$152,ROUND($B$11,0)-$J153)),IF($B$7="원금균등",MIN($K$152,ROUND($B$4/$B$6,0)),IF(132=$B$6,$K$152,0)))</f>
        <v>659123</v>
      </c>
      <c r="J153" s="36" t="n">
        <f aca="false">ROUND($K$152*$B$10,0)</f>
        <v>807929</v>
      </c>
      <c r="K153" s="36" t="n">
        <f aca="false">MAX(0,$K$152-$I153)</f>
        <v>230177685</v>
      </c>
    </row>
    <row r="154" customFormat="false" ht="15" hidden="false" customHeight="false" outlineLevel="0" collapsed="false">
      <c r="A154" s="32" t="n">
        <f aca="false">IF(133&gt;$B$6,"",133)</f>
        <v>133</v>
      </c>
      <c r="B154" s="33" t="n">
        <f aca="false">IF($A154="","",EDATE($B$8,133-1))</f>
        <v>50284</v>
      </c>
      <c r="C154" s="34" t="n">
        <f aca="false">IF($B$7="원리금균등",MAX(0,MIN($G$153,ROUND($B$11,0)-$D154)),IF($B$7="원금균등",MIN($G$153,ROUND($B$4/$B$6,0)),IF(133=$B$6,$G$153,0)))</f>
        <v>661430</v>
      </c>
      <c r="D154" s="34" t="n">
        <f aca="false">ROUND($G$153*$B$10,0)</f>
        <v>805622</v>
      </c>
      <c r="E154" s="34" t="n">
        <f aca="false">IF($A154="",0,$C154+$D154)</f>
        <v>1467052</v>
      </c>
      <c r="F154" s="35"/>
      <c r="G154" s="34" t="n">
        <f aca="false">MAX(0,$G$153-$C154-$F154)</f>
        <v>229516255</v>
      </c>
      <c r="H154" s="32" t="str">
        <f aca="false">IF($B154="","",TEXT($B154,"yyyy-mm"))</f>
        <v>2037-09</v>
      </c>
      <c r="I154" s="36" t="n">
        <f aca="false">IF($B$7="원리금균등",MAX(0,MIN($K$153,ROUND($B$11,0)-$J154)),IF($B$7="원금균등",MIN($K$153,ROUND($B$4/$B$6,0)),IF(133=$B$6,$K$153,0)))</f>
        <v>661430</v>
      </c>
      <c r="J154" s="36" t="n">
        <f aca="false">ROUND($K$153*$B$10,0)</f>
        <v>805622</v>
      </c>
      <c r="K154" s="36" t="n">
        <f aca="false">MAX(0,$K$153-$I154)</f>
        <v>229516255</v>
      </c>
    </row>
    <row r="155" customFormat="false" ht="15" hidden="false" customHeight="false" outlineLevel="0" collapsed="false">
      <c r="A155" s="32" t="n">
        <f aca="false">IF(134&gt;$B$6,"",134)</f>
        <v>134</v>
      </c>
      <c r="B155" s="33" t="n">
        <f aca="false">IF($A155="","",EDATE($B$8,134-1))</f>
        <v>50314</v>
      </c>
      <c r="C155" s="34" t="n">
        <f aca="false">IF($B$7="원리금균등",MAX(0,MIN($G$154,ROUND($B$11,0)-$D155)),IF($B$7="원금균등",MIN($G$154,ROUND($B$4/$B$6,0)),IF(134=$B$6,$G$154,0)))</f>
        <v>663745</v>
      </c>
      <c r="D155" s="34" t="n">
        <f aca="false">ROUND($G$154*$B$10,0)</f>
        <v>803307</v>
      </c>
      <c r="E155" s="34" t="n">
        <f aca="false">IF($A155="",0,$C155+$D155)</f>
        <v>1467052</v>
      </c>
      <c r="F155" s="35"/>
      <c r="G155" s="34" t="n">
        <f aca="false">MAX(0,$G$154-$C155-$F155)</f>
        <v>228852510</v>
      </c>
      <c r="H155" s="32" t="str">
        <f aca="false">IF($B155="","",TEXT($B155,"yyyy-mm"))</f>
        <v>2037-10</v>
      </c>
      <c r="I155" s="36" t="n">
        <f aca="false">IF($B$7="원리금균등",MAX(0,MIN($K$154,ROUND($B$11,0)-$J155)),IF($B$7="원금균등",MIN($K$154,ROUND($B$4/$B$6,0)),IF(134=$B$6,$K$154,0)))</f>
        <v>663745</v>
      </c>
      <c r="J155" s="36" t="n">
        <f aca="false">ROUND($K$154*$B$10,0)</f>
        <v>803307</v>
      </c>
      <c r="K155" s="36" t="n">
        <f aca="false">MAX(0,$K$154-$I155)</f>
        <v>228852510</v>
      </c>
    </row>
    <row r="156" customFormat="false" ht="15" hidden="false" customHeight="false" outlineLevel="0" collapsed="false">
      <c r="A156" s="32" t="n">
        <f aca="false">IF(135&gt;$B$6,"",135)</f>
        <v>135</v>
      </c>
      <c r="B156" s="33" t="n">
        <f aca="false">IF($A156="","",EDATE($B$8,135-1))</f>
        <v>50345</v>
      </c>
      <c r="C156" s="34" t="n">
        <f aca="false">IF($B$7="원리금균등",MAX(0,MIN($G$155,ROUND($B$11,0)-$D156)),IF($B$7="원금균등",MIN($G$155,ROUND($B$4/$B$6,0)),IF(135=$B$6,$G$155,0)))</f>
        <v>666068</v>
      </c>
      <c r="D156" s="34" t="n">
        <f aca="false">ROUND($G$155*$B$10,0)</f>
        <v>800984</v>
      </c>
      <c r="E156" s="34" t="n">
        <f aca="false">IF($A156="",0,$C156+$D156)</f>
        <v>1467052</v>
      </c>
      <c r="F156" s="35"/>
      <c r="G156" s="34" t="n">
        <f aca="false">MAX(0,$G$155-$C156-$F156)</f>
        <v>228186442</v>
      </c>
      <c r="H156" s="32" t="str">
        <f aca="false">IF($B156="","",TEXT($B156,"yyyy-mm"))</f>
        <v>2037-11</v>
      </c>
      <c r="I156" s="36" t="n">
        <f aca="false">IF($B$7="원리금균등",MAX(0,MIN($K$155,ROUND($B$11,0)-$J156)),IF($B$7="원금균등",MIN($K$155,ROUND($B$4/$B$6,0)),IF(135=$B$6,$K$155,0)))</f>
        <v>666068</v>
      </c>
      <c r="J156" s="36" t="n">
        <f aca="false">ROUND($K$155*$B$10,0)</f>
        <v>800984</v>
      </c>
      <c r="K156" s="36" t="n">
        <f aca="false">MAX(0,$K$155-$I156)</f>
        <v>228186442</v>
      </c>
    </row>
    <row r="157" customFormat="false" ht="15" hidden="false" customHeight="false" outlineLevel="0" collapsed="false">
      <c r="A157" s="32" t="n">
        <f aca="false">IF(136&gt;$B$6,"",136)</f>
        <v>136</v>
      </c>
      <c r="B157" s="33" t="n">
        <f aca="false">IF($A157="","",EDATE($B$8,136-1))</f>
        <v>50375</v>
      </c>
      <c r="C157" s="34" t="n">
        <f aca="false">IF($B$7="원리금균등",MAX(0,MIN($G$156,ROUND($B$11,0)-$D157)),IF($B$7="원금균등",MIN($G$156,ROUND($B$4/$B$6,0)),IF(136=$B$6,$G$156,0)))</f>
        <v>668399</v>
      </c>
      <c r="D157" s="34" t="n">
        <f aca="false">ROUND($G$156*$B$10,0)</f>
        <v>798653</v>
      </c>
      <c r="E157" s="34" t="n">
        <f aca="false">IF($A157="",0,$C157+$D157)</f>
        <v>1467052</v>
      </c>
      <c r="F157" s="35"/>
      <c r="G157" s="34" t="n">
        <f aca="false">MAX(0,$G$156-$C157-$F157)</f>
        <v>227518043</v>
      </c>
      <c r="H157" s="32" t="str">
        <f aca="false">IF($B157="","",TEXT($B157,"yyyy-mm"))</f>
        <v>2037-12</v>
      </c>
      <c r="I157" s="36" t="n">
        <f aca="false">IF($B$7="원리금균등",MAX(0,MIN($K$156,ROUND($B$11,0)-$J157)),IF($B$7="원금균등",MIN($K$156,ROUND($B$4/$B$6,0)),IF(136=$B$6,$K$156,0)))</f>
        <v>668399</v>
      </c>
      <c r="J157" s="36" t="n">
        <f aca="false">ROUND($K$156*$B$10,0)</f>
        <v>798653</v>
      </c>
      <c r="K157" s="36" t="n">
        <f aca="false">MAX(0,$K$156-$I157)</f>
        <v>227518043</v>
      </c>
    </row>
    <row r="158" customFormat="false" ht="15" hidden="false" customHeight="false" outlineLevel="0" collapsed="false">
      <c r="A158" s="32" t="n">
        <f aca="false">IF(137&gt;$B$6,"",137)</f>
        <v>137</v>
      </c>
      <c r="B158" s="33" t="n">
        <f aca="false">IF($A158="","",EDATE($B$8,137-1))</f>
        <v>50406</v>
      </c>
      <c r="C158" s="34" t="n">
        <f aca="false">IF($B$7="원리금균등",MAX(0,MIN($G$157,ROUND($B$11,0)-$D158)),IF($B$7="원금균등",MIN($G$157,ROUND($B$4/$B$6,0)),IF(137=$B$6,$G$157,0)))</f>
        <v>670739</v>
      </c>
      <c r="D158" s="34" t="n">
        <f aca="false">ROUND($G$157*$B$10,0)</f>
        <v>796313</v>
      </c>
      <c r="E158" s="34" t="n">
        <f aca="false">IF($A158="",0,$C158+$D158)</f>
        <v>1467052</v>
      </c>
      <c r="F158" s="35"/>
      <c r="G158" s="34" t="n">
        <f aca="false">MAX(0,$G$157-$C158-$F158)</f>
        <v>226847304</v>
      </c>
      <c r="H158" s="32" t="str">
        <f aca="false">IF($B158="","",TEXT($B158,"yyyy-mm"))</f>
        <v>2038-01</v>
      </c>
      <c r="I158" s="36" t="n">
        <f aca="false">IF($B$7="원리금균등",MAX(0,MIN($K$157,ROUND($B$11,0)-$J158)),IF($B$7="원금균등",MIN($K$157,ROUND($B$4/$B$6,0)),IF(137=$B$6,$K$157,0)))</f>
        <v>670739</v>
      </c>
      <c r="J158" s="36" t="n">
        <f aca="false">ROUND($K$157*$B$10,0)</f>
        <v>796313</v>
      </c>
      <c r="K158" s="36" t="n">
        <f aca="false">MAX(0,$K$157-$I158)</f>
        <v>226847304</v>
      </c>
    </row>
    <row r="159" customFormat="false" ht="15" hidden="false" customHeight="false" outlineLevel="0" collapsed="false">
      <c r="A159" s="32" t="n">
        <f aca="false">IF(138&gt;$B$6,"",138)</f>
        <v>138</v>
      </c>
      <c r="B159" s="33" t="n">
        <f aca="false">IF($A159="","",EDATE($B$8,138-1))</f>
        <v>50437</v>
      </c>
      <c r="C159" s="34" t="n">
        <f aca="false">IF($B$7="원리금균등",MAX(0,MIN($G$158,ROUND($B$11,0)-$D159)),IF($B$7="원금균등",MIN($G$158,ROUND($B$4/$B$6,0)),IF(138=$B$6,$G$158,0)))</f>
        <v>673086</v>
      </c>
      <c r="D159" s="34" t="n">
        <f aca="false">ROUND($G$158*$B$10,0)</f>
        <v>793966</v>
      </c>
      <c r="E159" s="34" t="n">
        <f aca="false">IF($A159="",0,$C159+$D159)</f>
        <v>1467052</v>
      </c>
      <c r="F159" s="35"/>
      <c r="G159" s="34" t="n">
        <f aca="false">MAX(0,$G$158-$C159-$F159)</f>
        <v>226174218</v>
      </c>
      <c r="H159" s="32" t="str">
        <f aca="false">IF($B159="","",TEXT($B159,"yyyy-mm"))</f>
        <v>2038-02</v>
      </c>
      <c r="I159" s="36" t="n">
        <f aca="false">IF($B$7="원리금균등",MAX(0,MIN($K$158,ROUND($B$11,0)-$J159)),IF($B$7="원금균등",MIN($K$158,ROUND($B$4/$B$6,0)),IF(138=$B$6,$K$158,0)))</f>
        <v>673086</v>
      </c>
      <c r="J159" s="36" t="n">
        <f aca="false">ROUND($K$158*$B$10,0)</f>
        <v>793966</v>
      </c>
      <c r="K159" s="36" t="n">
        <f aca="false">MAX(0,$K$158-$I159)</f>
        <v>226174218</v>
      </c>
    </row>
    <row r="160" customFormat="false" ht="15" hidden="false" customHeight="false" outlineLevel="0" collapsed="false">
      <c r="A160" s="32" t="n">
        <f aca="false">IF(139&gt;$B$6,"",139)</f>
        <v>139</v>
      </c>
      <c r="B160" s="33" t="n">
        <f aca="false">IF($A160="","",EDATE($B$8,139-1))</f>
        <v>50465</v>
      </c>
      <c r="C160" s="34" t="n">
        <f aca="false">IF($B$7="원리금균등",MAX(0,MIN($G$159,ROUND($B$11,0)-$D160)),IF($B$7="원금균등",MIN($G$159,ROUND($B$4/$B$6,0)),IF(139=$B$6,$G$159,0)))</f>
        <v>675442</v>
      </c>
      <c r="D160" s="34" t="n">
        <f aca="false">ROUND($G$159*$B$10,0)</f>
        <v>791610</v>
      </c>
      <c r="E160" s="34" t="n">
        <f aca="false">IF($A160="",0,$C160+$D160)</f>
        <v>1467052</v>
      </c>
      <c r="F160" s="35"/>
      <c r="G160" s="34" t="n">
        <f aca="false">MAX(0,$G$159-$C160-$F160)</f>
        <v>225498776</v>
      </c>
      <c r="H160" s="32" t="str">
        <f aca="false">IF($B160="","",TEXT($B160,"yyyy-mm"))</f>
        <v>2038-03</v>
      </c>
      <c r="I160" s="36" t="n">
        <f aca="false">IF($B$7="원리금균등",MAX(0,MIN($K$159,ROUND($B$11,0)-$J160)),IF($B$7="원금균등",MIN($K$159,ROUND($B$4/$B$6,0)),IF(139=$B$6,$K$159,0)))</f>
        <v>675442</v>
      </c>
      <c r="J160" s="36" t="n">
        <f aca="false">ROUND($K$159*$B$10,0)</f>
        <v>791610</v>
      </c>
      <c r="K160" s="36" t="n">
        <f aca="false">MAX(0,$K$159-$I160)</f>
        <v>225498776</v>
      </c>
    </row>
    <row r="161" customFormat="false" ht="15" hidden="false" customHeight="false" outlineLevel="0" collapsed="false">
      <c r="A161" s="32" t="n">
        <f aca="false">IF(140&gt;$B$6,"",140)</f>
        <v>140</v>
      </c>
      <c r="B161" s="33" t="n">
        <f aca="false">IF($A161="","",EDATE($B$8,140-1))</f>
        <v>50496</v>
      </c>
      <c r="C161" s="34" t="n">
        <f aca="false">IF($B$7="원리금균등",MAX(0,MIN($G$160,ROUND($B$11,0)-$D161)),IF($B$7="원금균등",MIN($G$160,ROUND($B$4/$B$6,0)),IF(140=$B$6,$G$160,0)))</f>
        <v>677806</v>
      </c>
      <c r="D161" s="34" t="n">
        <f aca="false">ROUND($G$160*$B$10,0)</f>
        <v>789246</v>
      </c>
      <c r="E161" s="34" t="n">
        <f aca="false">IF($A161="",0,$C161+$D161)</f>
        <v>1467052</v>
      </c>
      <c r="F161" s="35"/>
      <c r="G161" s="34" t="n">
        <f aca="false">MAX(0,$G$160-$C161-$F161)</f>
        <v>224820970</v>
      </c>
      <c r="H161" s="32" t="str">
        <f aca="false">IF($B161="","",TEXT($B161,"yyyy-mm"))</f>
        <v>2038-04</v>
      </c>
      <c r="I161" s="36" t="n">
        <f aca="false">IF($B$7="원리금균등",MAX(0,MIN($K$160,ROUND($B$11,0)-$J161)),IF($B$7="원금균등",MIN($K$160,ROUND($B$4/$B$6,0)),IF(140=$B$6,$K$160,0)))</f>
        <v>677806</v>
      </c>
      <c r="J161" s="36" t="n">
        <f aca="false">ROUND($K$160*$B$10,0)</f>
        <v>789246</v>
      </c>
      <c r="K161" s="36" t="n">
        <f aca="false">MAX(0,$K$160-$I161)</f>
        <v>224820970</v>
      </c>
    </row>
    <row r="162" customFormat="false" ht="15" hidden="false" customHeight="false" outlineLevel="0" collapsed="false">
      <c r="A162" s="32" t="n">
        <f aca="false">IF(141&gt;$B$6,"",141)</f>
        <v>141</v>
      </c>
      <c r="B162" s="33" t="n">
        <f aca="false">IF($A162="","",EDATE($B$8,141-1))</f>
        <v>50526</v>
      </c>
      <c r="C162" s="34" t="n">
        <f aca="false">IF($B$7="원리금균등",MAX(0,MIN($G$161,ROUND($B$11,0)-$D162)),IF($B$7="원금균등",MIN($G$161,ROUND($B$4/$B$6,0)),IF(141=$B$6,$G$161,0)))</f>
        <v>680179</v>
      </c>
      <c r="D162" s="34" t="n">
        <f aca="false">ROUND($G$161*$B$10,0)</f>
        <v>786873</v>
      </c>
      <c r="E162" s="34" t="n">
        <f aca="false">IF($A162="",0,$C162+$D162)</f>
        <v>1467052</v>
      </c>
      <c r="F162" s="35"/>
      <c r="G162" s="34" t="n">
        <f aca="false">MAX(0,$G$161-$C162-$F162)</f>
        <v>224140791</v>
      </c>
      <c r="H162" s="32" t="str">
        <f aca="false">IF($B162="","",TEXT($B162,"yyyy-mm"))</f>
        <v>2038-05</v>
      </c>
      <c r="I162" s="36" t="n">
        <f aca="false">IF($B$7="원리금균등",MAX(0,MIN($K$161,ROUND($B$11,0)-$J162)),IF($B$7="원금균등",MIN($K$161,ROUND($B$4/$B$6,0)),IF(141=$B$6,$K$161,0)))</f>
        <v>680179</v>
      </c>
      <c r="J162" s="36" t="n">
        <f aca="false">ROUND($K$161*$B$10,0)</f>
        <v>786873</v>
      </c>
      <c r="K162" s="36" t="n">
        <f aca="false">MAX(0,$K$161-$I162)</f>
        <v>224140791</v>
      </c>
    </row>
    <row r="163" customFormat="false" ht="15" hidden="false" customHeight="false" outlineLevel="0" collapsed="false">
      <c r="A163" s="32" t="n">
        <f aca="false">IF(142&gt;$B$6,"",142)</f>
        <v>142</v>
      </c>
      <c r="B163" s="33" t="n">
        <f aca="false">IF($A163="","",EDATE($B$8,142-1))</f>
        <v>50557</v>
      </c>
      <c r="C163" s="34" t="n">
        <f aca="false">IF($B$7="원리금균등",MAX(0,MIN($G$162,ROUND($B$11,0)-$D163)),IF($B$7="원금균등",MIN($G$162,ROUND($B$4/$B$6,0)),IF(142=$B$6,$G$162,0)))</f>
        <v>682559</v>
      </c>
      <c r="D163" s="34" t="n">
        <f aca="false">ROUND($G$162*$B$10,0)</f>
        <v>784493</v>
      </c>
      <c r="E163" s="34" t="n">
        <f aca="false">IF($A163="",0,$C163+$D163)</f>
        <v>1467052</v>
      </c>
      <c r="F163" s="35"/>
      <c r="G163" s="34" t="n">
        <f aca="false">MAX(0,$G$162-$C163-$F163)</f>
        <v>223458232</v>
      </c>
      <c r="H163" s="32" t="str">
        <f aca="false">IF($B163="","",TEXT($B163,"yyyy-mm"))</f>
        <v>2038-06</v>
      </c>
      <c r="I163" s="36" t="n">
        <f aca="false">IF($B$7="원리금균등",MAX(0,MIN($K$162,ROUND($B$11,0)-$J163)),IF($B$7="원금균등",MIN($K$162,ROUND($B$4/$B$6,0)),IF(142=$B$6,$K$162,0)))</f>
        <v>682559</v>
      </c>
      <c r="J163" s="36" t="n">
        <f aca="false">ROUND($K$162*$B$10,0)</f>
        <v>784493</v>
      </c>
      <c r="K163" s="36" t="n">
        <f aca="false">MAX(0,$K$162-$I163)</f>
        <v>223458232</v>
      </c>
    </row>
    <row r="164" customFormat="false" ht="15" hidden="false" customHeight="false" outlineLevel="0" collapsed="false">
      <c r="A164" s="32" t="n">
        <f aca="false">IF(143&gt;$B$6,"",143)</f>
        <v>143</v>
      </c>
      <c r="B164" s="33" t="n">
        <f aca="false">IF($A164="","",EDATE($B$8,143-1))</f>
        <v>50587</v>
      </c>
      <c r="C164" s="34" t="n">
        <f aca="false">IF($B$7="원리금균등",MAX(0,MIN($G$163,ROUND($B$11,0)-$D164)),IF($B$7="원금균등",MIN($G$163,ROUND($B$4/$B$6,0)),IF(143=$B$6,$G$163,0)))</f>
        <v>684948</v>
      </c>
      <c r="D164" s="34" t="n">
        <f aca="false">ROUND($G$163*$B$10,0)</f>
        <v>782104</v>
      </c>
      <c r="E164" s="34" t="n">
        <f aca="false">IF($A164="",0,$C164+$D164)</f>
        <v>1467052</v>
      </c>
      <c r="F164" s="35"/>
      <c r="G164" s="34" t="n">
        <f aca="false">MAX(0,$G$163-$C164-$F164)</f>
        <v>222773284</v>
      </c>
      <c r="H164" s="32" t="str">
        <f aca="false">IF($B164="","",TEXT($B164,"yyyy-mm"))</f>
        <v>2038-07</v>
      </c>
      <c r="I164" s="36" t="n">
        <f aca="false">IF($B$7="원리금균등",MAX(0,MIN($K$163,ROUND($B$11,0)-$J164)),IF($B$7="원금균등",MIN($K$163,ROUND($B$4/$B$6,0)),IF(143=$B$6,$K$163,0)))</f>
        <v>684948</v>
      </c>
      <c r="J164" s="36" t="n">
        <f aca="false">ROUND($K$163*$B$10,0)</f>
        <v>782104</v>
      </c>
      <c r="K164" s="36" t="n">
        <f aca="false">MAX(0,$K$163-$I164)</f>
        <v>222773284</v>
      </c>
    </row>
    <row r="165" customFormat="false" ht="15" hidden="false" customHeight="false" outlineLevel="0" collapsed="false">
      <c r="A165" s="32" t="n">
        <f aca="false">IF(144&gt;$B$6,"",144)</f>
        <v>144</v>
      </c>
      <c r="B165" s="33" t="n">
        <f aca="false">IF($A165="","",EDATE($B$8,144-1))</f>
        <v>50618</v>
      </c>
      <c r="C165" s="34" t="n">
        <f aca="false">IF($B$7="원리금균등",MAX(0,MIN($G$164,ROUND($B$11,0)-$D165)),IF($B$7="원금균등",MIN($G$164,ROUND($B$4/$B$6,0)),IF(144=$B$6,$G$164,0)))</f>
        <v>687346</v>
      </c>
      <c r="D165" s="34" t="n">
        <f aca="false">ROUND($G$164*$B$10,0)</f>
        <v>779706</v>
      </c>
      <c r="E165" s="34" t="n">
        <f aca="false">IF($A165="",0,$C165+$D165)</f>
        <v>1467052</v>
      </c>
      <c r="F165" s="35"/>
      <c r="G165" s="34" t="n">
        <f aca="false">MAX(0,$G$164-$C165-$F165)</f>
        <v>222085938</v>
      </c>
      <c r="H165" s="32" t="str">
        <f aca="false">IF($B165="","",TEXT($B165,"yyyy-mm"))</f>
        <v>2038-08</v>
      </c>
      <c r="I165" s="36" t="n">
        <f aca="false">IF($B$7="원리금균등",MAX(0,MIN($K$164,ROUND($B$11,0)-$J165)),IF($B$7="원금균등",MIN($K$164,ROUND($B$4/$B$6,0)),IF(144=$B$6,$K$164,0)))</f>
        <v>687346</v>
      </c>
      <c r="J165" s="36" t="n">
        <f aca="false">ROUND($K$164*$B$10,0)</f>
        <v>779706</v>
      </c>
      <c r="K165" s="36" t="n">
        <f aca="false">MAX(0,$K$164-$I165)</f>
        <v>222085938</v>
      </c>
    </row>
    <row r="166" customFormat="false" ht="15" hidden="false" customHeight="false" outlineLevel="0" collapsed="false">
      <c r="A166" s="32" t="n">
        <f aca="false">IF(145&gt;$B$6,"",145)</f>
        <v>145</v>
      </c>
      <c r="B166" s="33" t="n">
        <f aca="false">IF($A166="","",EDATE($B$8,145-1))</f>
        <v>50649</v>
      </c>
      <c r="C166" s="34" t="n">
        <f aca="false">IF($B$7="원리금균등",MAX(0,MIN($G$165,ROUND($B$11,0)-$D166)),IF($B$7="원금균등",MIN($G$165,ROUND($B$4/$B$6,0)),IF(145=$B$6,$G$165,0)))</f>
        <v>689751</v>
      </c>
      <c r="D166" s="34" t="n">
        <f aca="false">ROUND($G$165*$B$10,0)</f>
        <v>777301</v>
      </c>
      <c r="E166" s="34" t="n">
        <f aca="false">IF($A166="",0,$C166+$D166)</f>
        <v>1467052</v>
      </c>
      <c r="F166" s="35"/>
      <c r="G166" s="34" t="n">
        <f aca="false">MAX(0,$G$165-$C166-$F166)</f>
        <v>221396187</v>
      </c>
      <c r="H166" s="32" t="str">
        <f aca="false">IF($B166="","",TEXT($B166,"yyyy-mm"))</f>
        <v>2038-09</v>
      </c>
      <c r="I166" s="36" t="n">
        <f aca="false">IF($B$7="원리금균등",MAX(0,MIN($K$165,ROUND($B$11,0)-$J166)),IF($B$7="원금균등",MIN($K$165,ROUND($B$4/$B$6,0)),IF(145=$B$6,$K$165,0)))</f>
        <v>689751</v>
      </c>
      <c r="J166" s="36" t="n">
        <f aca="false">ROUND($K$165*$B$10,0)</f>
        <v>777301</v>
      </c>
      <c r="K166" s="36" t="n">
        <f aca="false">MAX(0,$K$165-$I166)</f>
        <v>221396187</v>
      </c>
    </row>
    <row r="167" customFormat="false" ht="15" hidden="false" customHeight="false" outlineLevel="0" collapsed="false">
      <c r="A167" s="32" t="n">
        <f aca="false">IF(146&gt;$B$6,"",146)</f>
        <v>146</v>
      </c>
      <c r="B167" s="33" t="n">
        <f aca="false">IF($A167="","",EDATE($B$8,146-1))</f>
        <v>50679</v>
      </c>
      <c r="C167" s="34" t="n">
        <f aca="false">IF($B$7="원리금균등",MAX(0,MIN($G$166,ROUND($B$11,0)-$D167)),IF($B$7="원금균등",MIN($G$166,ROUND($B$4/$B$6,0)),IF(146=$B$6,$G$166,0)))</f>
        <v>692165</v>
      </c>
      <c r="D167" s="34" t="n">
        <f aca="false">ROUND($G$166*$B$10,0)</f>
        <v>774887</v>
      </c>
      <c r="E167" s="34" t="n">
        <f aca="false">IF($A167="",0,$C167+$D167)</f>
        <v>1467052</v>
      </c>
      <c r="F167" s="35"/>
      <c r="G167" s="34" t="n">
        <f aca="false">MAX(0,$G$166-$C167-$F167)</f>
        <v>220704022</v>
      </c>
      <c r="H167" s="32" t="str">
        <f aca="false">IF($B167="","",TEXT($B167,"yyyy-mm"))</f>
        <v>2038-10</v>
      </c>
      <c r="I167" s="36" t="n">
        <f aca="false">IF($B$7="원리금균등",MAX(0,MIN($K$166,ROUND($B$11,0)-$J167)),IF($B$7="원금균등",MIN($K$166,ROUND($B$4/$B$6,0)),IF(146=$B$6,$K$166,0)))</f>
        <v>692165</v>
      </c>
      <c r="J167" s="36" t="n">
        <f aca="false">ROUND($K$166*$B$10,0)</f>
        <v>774887</v>
      </c>
      <c r="K167" s="36" t="n">
        <f aca="false">MAX(0,$K$166-$I167)</f>
        <v>220704022</v>
      </c>
    </row>
    <row r="168" customFormat="false" ht="15" hidden="false" customHeight="false" outlineLevel="0" collapsed="false">
      <c r="A168" s="32" t="n">
        <f aca="false">IF(147&gt;$B$6,"",147)</f>
        <v>147</v>
      </c>
      <c r="B168" s="33" t="n">
        <f aca="false">IF($A168="","",EDATE($B$8,147-1))</f>
        <v>50710</v>
      </c>
      <c r="C168" s="34" t="n">
        <f aca="false">IF($B$7="원리금균등",MAX(0,MIN($G$167,ROUND($B$11,0)-$D168)),IF($B$7="원금균등",MIN($G$167,ROUND($B$4/$B$6,0)),IF(147=$B$6,$G$167,0)))</f>
        <v>694588</v>
      </c>
      <c r="D168" s="34" t="n">
        <f aca="false">ROUND($G$167*$B$10,0)</f>
        <v>772464</v>
      </c>
      <c r="E168" s="34" t="n">
        <f aca="false">IF($A168="",0,$C168+$D168)</f>
        <v>1467052</v>
      </c>
      <c r="F168" s="35"/>
      <c r="G168" s="34" t="n">
        <f aca="false">MAX(0,$G$167-$C168-$F168)</f>
        <v>220009434</v>
      </c>
      <c r="H168" s="32" t="str">
        <f aca="false">IF($B168="","",TEXT($B168,"yyyy-mm"))</f>
        <v>2038-11</v>
      </c>
      <c r="I168" s="36" t="n">
        <f aca="false">IF($B$7="원리금균등",MAX(0,MIN($K$167,ROUND($B$11,0)-$J168)),IF($B$7="원금균등",MIN($K$167,ROUND($B$4/$B$6,0)),IF(147=$B$6,$K$167,0)))</f>
        <v>694588</v>
      </c>
      <c r="J168" s="36" t="n">
        <f aca="false">ROUND($K$167*$B$10,0)</f>
        <v>772464</v>
      </c>
      <c r="K168" s="36" t="n">
        <f aca="false">MAX(0,$K$167-$I168)</f>
        <v>220009434</v>
      </c>
    </row>
    <row r="169" customFormat="false" ht="15" hidden="false" customHeight="false" outlineLevel="0" collapsed="false">
      <c r="A169" s="32" t="n">
        <f aca="false">IF(148&gt;$B$6,"",148)</f>
        <v>148</v>
      </c>
      <c r="B169" s="33" t="n">
        <f aca="false">IF($A169="","",EDATE($B$8,148-1))</f>
        <v>50740</v>
      </c>
      <c r="C169" s="34" t="n">
        <f aca="false">IF($B$7="원리금균등",MAX(0,MIN($G$168,ROUND($B$11,0)-$D169)),IF($B$7="원금균등",MIN($G$168,ROUND($B$4/$B$6,0)),IF(148=$B$6,$G$168,0)))</f>
        <v>697019</v>
      </c>
      <c r="D169" s="34" t="n">
        <f aca="false">ROUND($G$168*$B$10,0)</f>
        <v>770033</v>
      </c>
      <c r="E169" s="34" t="n">
        <f aca="false">IF($A169="",0,$C169+$D169)</f>
        <v>1467052</v>
      </c>
      <c r="F169" s="35"/>
      <c r="G169" s="34" t="n">
        <f aca="false">MAX(0,$G$168-$C169-$F169)</f>
        <v>219312415</v>
      </c>
      <c r="H169" s="32" t="str">
        <f aca="false">IF($B169="","",TEXT($B169,"yyyy-mm"))</f>
        <v>2038-12</v>
      </c>
      <c r="I169" s="36" t="n">
        <f aca="false">IF($B$7="원리금균등",MAX(0,MIN($K$168,ROUND($B$11,0)-$J169)),IF($B$7="원금균등",MIN($K$168,ROUND($B$4/$B$6,0)),IF(148=$B$6,$K$168,0)))</f>
        <v>697019</v>
      </c>
      <c r="J169" s="36" t="n">
        <f aca="false">ROUND($K$168*$B$10,0)</f>
        <v>770033</v>
      </c>
      <c r="K169" s="36" t="n">
        <f aca="false">MAX(0,$K$168-$I169)</f>
        <v>219312415</v>
      </c>
    </row>
    <row r="170" customFormat="false" ht="15" hidden="false" customHeight="false" outlineLevel="0" collapsed="false">
      <c r="A170" s="32" t="n">
        <f aca="false">IF(149&gt;$B$6,"",149)</f>
        <v>149</v>
      </c>
      <c r="B170" s="33" t="n">
        <f aca="false">IF($A170="","",EDATE($B$8,149-1))</f>
        <v>50771</v>
      </c>
      <c r="C170" s="34" t="n">
        <f aca="false">IF($B$7="원리금균등",MAX(0,MIN($G$169,ROUND($B$11,0)-$D170)),IF($B$7="원금균등",MIN($G$169,ROUND($B$4/$B$6,0)),IF(149=$B$6,$G$169,0)))</f>
        <v>699459</v>
      </c>
      <c r="D170" s="34" t="n">
        <f aca="false">ROUND($G$169*$B$10,0)</f>
        <v>767593</v>
      </c>
      <c r="E170" s="34" t="n">
        <f aca="false">IF($A170="",0,$C170+$D170)</f>
        <v>1467052</v>
      </c>
      <c r="F170" s="35"/>
      <c r="G170" s="34" t="n">
        <f aca="false">MAX(0,$G$169-$C170-$F170)</f>
        <v>218612956</v>
      </c>
      <c r="H170" s="32" t="str">
        <f aca="false">IF($B170="","",TEXT($B170,"yyyy-mm"))</f>
        <v>2039-01</v>
      </c>
      <c r="I170" s="36" t="n">
        <f aca="false">IF($B$7="원리금균등",MAX(0,MIN($K$169,ROUND($B$11,0)-$J170)),IF($B$7="원금균등",MIN($K$169,ROUND($B$4/$B$6,0)),IF(149=$B$6,$K$169,0)))</f>
        <v>699459</v>
      </c>
      <c r="J170" s="36" t="n">
        <f aca="false">ROUND($K$169*$B$10,0)</f>
        <v>767593</v>
      </c>
      <c r="K170" s="36" t="n">
        <f aca="false">MAX(0,$K$169-$I170)</f>
        <v>218612956</v>
      </c>
    </row>
    <row r="171" customFormat="false" ht="15" hidden="false" customHeight="false" outlineLevel="0" collapsed="false">
      <c r="A171" s="32" t="n">
        <f aca="false">IF(150&gt;$B$6,"",150)</f>
        <v>150</v>
      </c>
      <c r="B171" s="33" t="n">
        <f aca="false">IF($A171="","",EDATE($B$8,150-1))</f>
        <v>50802</v>
      </c>
      <c r="C171" s="34" t="n">
        <f aca="false">IF($B$7="원리금균등",MAX(0,MIN($G$170,ROUND($B$11,0)-$D171)),IF($B$7="원금균등",MIN($G$170,ROUND($B$4/$B$6,0)),IF(150=$B$6,$G$170,0)))</f>
        <v>701907</v>
      </c>
      <c r="D171" s="34" t="n">
        <f aca="false">ROUND($G$170*$B$10,0)</f>
        <v>765145</v>
      </c>
      <c r="E171" s="34" t="n">
        <f aca="false">IF($A171="",0,$C171+$D171)</f>
        <v>1467052</v>
      </c>
      <c r="F171" s="35"/>
      <c r="G171" s="34" t="n">
        <f aca="false">MAX(0,$G$170-$C171-$F171)</f>
        <v>217911049</v>
      </c>
      <c r="H171" s="32" t="str">
        <f aca="false">IF($B171="","",TEXT($B171,"yyyy-mm"))</f>
        <v>2039-02</v>
      </c>
      <c r="I171" s="36" t="n">
        <f aca="false">IF($B$7="원리금균등",MAX(0,MIN($K$170,ROUND($B$11,0)-$J171)),IF($B$7="원금균등",MIN($K$170,ROUND($B$4/$B$6,0)),IF(150=$B$6,$K$170,0)))</f>
        <v>701907</v>
      </c>
      <c r="J171" s="36" t="n">
        <f aca="false">ROUND($K$170*$B$10,0)</f>
        <v>765145</v>
      </c>
      <c r="K171" s="36" t="n">
        <f aca="false">MAX(0,$K$170-$I171)</f>
        <v>217911049</v>
      </c>
    </row>
    <row r="172" customFormat="false" ht="15" hidden="false" customHeight="false" outlineLevel="0" collapsed="false">
      <c r="A172" s="32" t="n">
        <f aca="false">IF(151&gt;$B$6,"",151)</f>
        <v>151</v>
      </c>
      <c r="B172" s="33" t="n">
        <f aca="false">IF($A172="","",EDATE($B$8,151-1))</f>
        <v>50830</v>
      </c>
      <c r="C172" s="34" t="n">
        <f aca="false">IF($B$7="원리금균등",MAX(0,MIN($G$171,ROUND($B$11,0)-$D172)),IF($B$7="원금균등",MIN($G$171,ROUND($B$4/$B$6,0)),IF(151=$B$6,$G$171,0)))</f>
        <v>704363</v>
      </c>
      <c r="D172" s="34" t="n">
        <f aca="false">ROUND($G$171*$B$10,0)</f>
        <v>762689</v>
      </c>
      <c r="E172" s="34" t="n">
        <f aca="false">IF($A172="",0,$C172+$D172)</f>
        <v>1467052</v>
      </c>
      <c r="F172" s="35"/>
      <c r="G172" s="34" t="n">
        <f aca="false">MAX(0,$G$171-$C172-$F172)</f>
        <v>217206686</v>
      </c>
      <c r="H172" s="32" t="str">
        <f aca="false">IF($B172="","",TEXT($B172,"yyyy-mm"))</f>
        <v>2039-03</v>
      </c>
      <c r="I172" s="36" t="n">
        <f aca="false">IF($B$7="원리금균등",MAX(0,MIN($K$171,ROUND($B$11,0)-$J172)),IF($B$7="원금균등",MIN($K$171,ROUND($B$4/$B$6,0)),IF(151=$B$6,$K$171,0)))</f>
        <v>704363</v>
      </c>
      <c r="J172" s="36" t="n">
        <f aca="false">ROUND($K$171*$B$10,0)</f>
        <v>762689</v>
      </c>
      <c r="K172" s="36" t="n">
        <f aca="false">MAX(0,$K$171-$I172)</f>
        <v>217206686</v>
      </c>
    </row>
    <row r="173" customFormat="false" ht="15" hidden="false" customHeight="false" outlineLevel="0" collapsed="false">
      <c r="A173" s="32" t="n">
        <f aca="false">IF(152&gt;$B$6,"",152)</f>
        <v>152</v>
      </c>
      <c r="B173" s="33" t="n">
        <f aca="false">IF($A173="","",EDATE($B$8,152-1))</f>
        <v>50861</v>
      </c>
      <c r="C173" s="34" t="n">
        <f aca="false">IF($B$7="원리금균등",MAX(0,MIN($G$172,ROUND($B$11,0)-$D173)),IF($B$7="원금균등",MIN($G$172,ROUND($B$4/$B$6,0)),IF(152=$B$6,$G$172,0)))</f>
        <v>706829</v>
      </c>
      <c r="D173" s="34" t="n">
        <f aca="false">ROUND($G$172*$B$10,0)</f>
        <v>760223</v>
      </c>
      <c r="E173" s="34" t="n">
        <f aca="false">IF($A173="",0,$C173+$D173)</f>
        <v>1467052</v>
      </c>
      <c r="F173" s="35"/>
      <c r="G173" s="34" t="n">
        <f aca="false">MAX(0,$G$172-$C173-$F173)</f>
        <v>216499857</v>
      </c>
      <c r="H173" s="32" t="str">
        <f aca="false">IF($B173="","",TEXT($B173,"yyyy-mm"))</f>
        <v>2039-04</v>
      </c>
      <c r="I173" s="36" t="n">
        <f aca="false">IF($B$7="원리금균등",MAX(0,MIN($K$172,ROUND($B$11,0)-$J173)),IF($B$7="원금균등",MIN($K$172,ROUND($B$4/$B$6,0)),IF(152=$B$6,$K$172,0)))</f>
        <v>706829</v>
      </c>
      <c r="J173" s="36" t="n">
        <f aca="false">ROUND($K$172*$B$10,0)</f>
        <v>760223</v>
      </c>
      <c r="K173" s="36" t="n">
        <f aca="false">MAX(0,$K$172-$I173)</f>
        <v>216499857</v>
      </c>
    </row>
    <row r="174" customFormat="false" ht="15" hidden="false" customHeight="false" outlineLevel="0" collapsed="false">
      <c r="A174" s="32" t="n">
        <f aca="false">IF(153&gt;$B$6,"",153)</f>
        <v>153</v>
      </c>
      <c r="B174" s="33" t="n">
        <f aca="false">IF($A174="","",EDATE($B$8,153-1))</f>
        <v>50891</v>
      </c>
      <c r="C174" s="34" t="n">
        <f aca="false">IF($B$7="원리금균등",MAX(0,MIN($G$173,ROUND($B$11,0)-$D174)),IF($B$7="원금균등",MIN($G$173,ROUND($B$4/$B$6,0)),IF(153=$B$6,$G$173,0)))</f>
        <v>709303</v>
      </c>
      <c r="D174" s="34" t="n">
        <f aca="false">ROUND($G$173*$B$10,0)</f>
        <v>757749</v>
      </c>
      <c r="E174" s="34" t="n">
        <f aca="false">IF($A174="",0,$C174+$D174)</f>
        <v>1467052</v>
      </c>
      <c r="F174" s="35"/>
      <c r="G174" s="34" t="n">
        <f aca="false">MAX(0,$G$173-$C174-$F174)</f>
        <v>215790554</v>
      </c>
      <c r="H174" s="32" t="str">
        <f aca="false">IF($B174="","",TEXT($B174,"yyyy-mm"))</f>
        <v>2039-05</v>
      </c>
      <c r="I174" s="36" t="n">
        <f aca="false">IF($B$7="원리금균등",MAX(0,MIN($K$173,ROUND($B$11,0)-$J174)),IF($B$7="원금균등",MIN($K$173,ROUND($B$4/$B$6,0)),IF(153=$B$6,$K$173,0)))</f>
        <v>709303</v>
      </c>
      <c r="J174" s="36" t="n">
        <f aca="false">ROUND($K$173*$B$10,0)</f>
        <v>757749</v>
      </c>
      <c r="K174" s="36" t="n">
        <f aca="false">MAX(0,$K$173-$I174)</f>
        <v>215790554</v>
      </c>
    </row>
    <row r="175" customFormat="false" ht="15" hidden="false" customHeight="false" outlineLevel="0" collapsed="false">
      <c r="A175" s="32" t="n">
        <f aca="false">IF(154&gt;$B$6,"",154)</f>
        <v>154</v>
      </c>
      <c r="B175" s="33" t="n">
        <f aca="false">IF($A175="","",EDATE($B$8,154-1))</f>
        <v>50922</v>
      </c>
      <c r="C175" s="34" t="n">
        <f aca="false">IF($B$7="원리금균등",MAX(0,MIN($G$174,ROUND($B$11,0)-$D175)),IF($B$7="원금균등",MIN($G$174,ROUND($B$4/$B$6,0)),IF(154=$B$6,$G$174,0)))</f>
        <v>711785</v>
      </c>
      <c r="D175" s="34" t="n">
        <f aca="false">ROUND($G$174*$B$10,0)</f>
        <v>755267</v>
      </c>
      <c r="E175" s="34" t="n">
        <f aca="false">IF($A175="",0,$C175+$D175)</f>
        <v>1467052</v>
      </c>
      <c r="F175" s="35"/>
      <c r="G175" s="34" t="n">
        <f aca="false">MAX(0,$G$174-$C175-$F175)</f>
        <v>215078769</v>
      </c>
      <c r="H175" s="32" t="str">
        <f aca="false">IF($B175="","",TEXT($B175,"yyyy-mm"))</f>
        <v>2039-06</v>
      </c>
      <c r="I175" s="36" t="n">
        <f aca="false">IF($B$7="원리금균등",MAX(0,MIN($K$174,ROUND($B$11,0)-$J175)),IF($B$7="원금균등",MIN($K$174,ROUND($B$4/$B$6,0)),IF(154=$B$6,$K$174,0)))</f>
        <v>711785</v>
      </c>
      <c r="J175" s="36" t="n">
        <f aca="false">ROUND($K$174*$B$10,0)</f>
        <v>755267</v>
      </c>
      <c r="K175" s="36" t="n">
        <f aca="false">MAX(0,$K$174-$I175)</f>
        <v>215078769</v>
      </c>
    </row>
    <row r="176" customFormat="false" ht="15" hidden="false" customHeight="false" outlineLevel="0" collapsed="false">
      <c r="A176" s="32" t="n">
        <f aca="false">IF(155&gt;$B$6,"",155)</f>
        <v>155</v>
      </c>
      <c r="B176" s="33" t="n">
        <f aca="false">IF($A176="","",EDATE($B$8,155-1))</f>
        <v>50952</v>
      </c>
      <c r="C176" s="34" t="n">
        <f aca="false">IF($B$7="원리금균등",MAX(0,MIN($G$175,ROUND($B$11,0)-$D176)),IF($B$7="원금균등",MIN($G$175,ROUND($B$4/$B$6,0)),IF(155=$B$6,$G$175,0)))</f>
        <v>714276</v>
      </c>
      <c r="D176" s="34" t="n">
        <f aca="false">ROUND($G$175*$B$10,0)</f>
        <v>752776</v>
      </c>
      <c r="E176" s="34" t="n">
        <f aca="false">IF($A176="",0,$C176+$D176)</f>
        <v>1467052</v>
      </c>
      <c r="F176" s="35"/>
      <c r="G176" s="34" t="n">
        <f aca="false">MAX(0,$G$175-$C176-$F176)</f>
        <v>214364493</v>
      </c>
      <c r="H176" s="32" t="str">
        <f aca="false">IF($B176="","",TEXT($B176,"yyyy-mm"))</f>
        <v>2039-07</v>
      </c>
      <c r="I176" s="36" t="n">
        <f aca="false">IF($B$7="원리금균등",MAX(0,MIN($K$175,ROUND($B$11,0)-$J176)),IF($B$7="원금균등",MIN($K$175,ROUND($B$4/$B$6,0)),IF(155=$B$6,$K$175,0)))</f>
        <v>714276</v>
      </c>
      <c r="J176" s="36" t="n">
        <f aca="false">ROUND($K$175*$B$10,0)</f>
        <v>752776</v>
      </c>
      <c r="K176" s="36" t="n">
        <f aca="false">MAX(0,$K$175-$I176)</f>
        <v>214364493</v>
      </c>
    </row>
    <row r="177" customFormat="false" ht="15" hidden="false" customHeight="false" outlineLevel="0" collapsed="false">
      <c r="A177" s="32" t="n">
        <f aca="false">IF(156&gt;$B$6,"",156)</f>
        <v>156</v>
      </c>
      <c r="B177" s="33" t="n">
        <f aca="false">IF($A177="","",EDATE($B$8,156-1))</f>
        <v>50983</v>
      </c>
      <c r="C177" s="34" t="n">
        <f aca="false">IF($B$7="원리금균등",MAX(0,MIN($G$176,ROUND($B$11,0)-$D177)),IF($B$7="원금균등",MIN($G$176,ROUND($B$4/$B$6,0)),IF(156=$B$6,$G$176,0)))</f>
        <v>716776</v>
      </c>
      <c r="D177" s="34" t="n">
        <f aca="false">ROUND($G$176*$B$10,0)</f>
        <v>750276</v>
      </c>
      <c r="E177" s="34" t="n">
        <f aca="false">IF($A177="",0,$C177+$D177)</f>
        <v>1467052</v>
      </c>
      <c r="F177" s="35"/>
      <c r="G177" s="34" t="n">
        <f aca="false">MAX(0,$G$176-$C177-$F177)</f>
        <v>213647717</v>
      </c>
      <c r="H177" s="32" t="str">
        <f aca="false">IF($B177="","",TEXT($B177,"yyyy-mm"))</f>
        <v>2039-08</v>
      </c>
      <c r="I177" s="36" t="n">
        <f aca="false">IF($B$7="원리금균등",MAX(0,MIN($K$176,ROUND($B$11,0)-$J177)),IF($B$7="원금균등",MIN($K$176,ROUND($B$4/$B$6,0)),IF(156=$B$6,$K$176,0)))</f>
        <v>716776</v>
      </c>
      <c r="J177" s="36" t="n">
        <f aca="false">ROUND($K$176*$B$10,0)</f>
        <v>750276</v>
      </c>
      <c r="K177" s="36" t="n">
        <f aca="false">MAX(0,$K$176-$I177)</f>
        <v>213647717</v>
      </c>
    </row>
    <row r="178" customFormat="false" ht="15" hidden="false" customHeight="false" outlineLevel="0" collapsed="false">
      <c r="A178" s="32" t="n">
        <f aca="false">IF(157&gt;$B$6,"",157)</f>
        <v>157</v>
      </c>
      <c r="B178" s="33" t="n">
        <f aca="false">IF($A178="","",EDATE($B$8,157-1))</f>
        <v>51014</v>
      </c>
      <c r="C178" s="34" t="n">
        <f aca="false">IF($B$7="원리금균등",MAX(0,MIN($G$177,ROUND($B$11,0)-$D178)),IF($B$7="원금균등",MIN($G$177,ROUND($B$4/$B$6,0)),IF(157=$B$6,$G$177,0)))</f>
        <v>719285</v>
      </c>
      <c r="D178" s="34" t="n">
        <f aca="false">ROUND($G$177*$B$10,0)</f>
        <v>747767</v>
      </c>
      <c r="E178" s="34" t="n">
        <f aca="false">IF($A178="",0,$C178+$D178)</f>
        <v>1467052</v>
      </c>
      <c r="F178" s="35"/>
      <c r="G178" s="34" t="n">
        <f aca="false">MAX(0,$G$177-$C178-$F178)</f>
        <v>212928432</v>
      </c>
      <c r="H178" s="32" t="str">
        <f aca="false">IF($B178="","",TEXT($B178,"yyyy-mm"))</f>
        <v>2039-09</v>
      </c>
      <c r="I178" s="36" t="n">
        <f aca="false">IF($B$7="원리금균등",MAX(0,MIN($K$177,ROUND($B$11,0)-$J178)),IF($B$7="원금균등",MIN($K$177,ROUND($B$4/$B$6,0)),IF(157=$B$6,$K$177,0)))</f>
        <v>719285</v>
      </c>
      <c r="J178" s="36" t="n">
        <f aca="false">ROUND($K$177*$B$10,0)</f>
        <v>747767</v>
      </c>
      <c r="K178" s="36" t="n">
        <f aca="false">MAX(0,$K$177-$I178)</f>
        <v>212928432</v>
      </c>
    </row>
    <row r="179" customFormat="false" ht="15" hidden="false" customHeight="false" outlineLevel="0" collapsed="false">
      <c r="A179" s="32" t="n">
        <f aca="false">IF(158&gt;$B$6,"",158)</f>
        <v>158</v>
      </c>
      <c r="B179" s="33" t="n">
        <f aca="false">IF($A179="","",EDATE($B$8,158-1))</f>
        <v>51044</v>
      </c>
      <c r="C179" s="34" t="n">
        <f aca="false">IF($B$7="원리금균등",MAX(0,MIN($G$178,ROUND($B$11,0)-$D179)),IF($B$7="원금균등",MIN($G$178,ROUND($B$4/$B$6,0)),IF(158=$B$6,$G$178,0)))</f>
        <v>721802</v>
      </c>
      <c r="D179" s="34" t="n">
        <f aca="false">ROUND($G$178*$B$10,0)</f>
        <v>745250</v>
      </c>
      <c r="E179" s="34" t="n">
        <f aca="false">IF($A179="",0,$C179+$D179)</f>
        <v>1467052</v>
      </c>
      <c r="F179" s="35"/>
      <c r="G179" s="34" t="n">
        <f aca="false">MAX(0,$G$178-$C179-$F179)</f>
        <v>212206630</v>
      </c>
      <c r="H179" s="32" t="str">
        <f aca="false">IF($B179="","",TEXT($B179,"yyyy-mm"))</f>
        <v>2039-10</v>
      </c>
      <c r="I179" s="36" t="n">
        <f aca="false">IF($B$7="원리금균등",MAX(0,MIN($K$178,ROUND($B$11,0)-$J179)),IF($B$7="원금균등",MIN($K$178,ROUND($B$4/$B$6,0)),IF(158=$B$6,$K$178,0)))</f>
        <v>721802</v>
      </c>
      <c r="J179" s="36" t="n">
        <f aca="false">ROUND($K$178*$B$10,0)</f>
        <v>745250</v>
      </c>
      <c r="K179" s="36" t="n">
        <f aca="false">MAX(0,$K$178-$I179)</f>
        <v>212206630</v>
      </c>
    </row>
    <row r="180" customFormat="false" ht="15" hidden="false" customHeight="false" outlineLevel="0" collapsed="false">
      <c r="A180" s="32" t="n">
        <f aca="false">IF(159&gt;$B$6,"",159)</f>
        <v>159</v>
      </c>
      <c r="B180" s="33" t="n">
        <f aca="false">IF($A180="","",EDATE($B$8,159-1))</f>
        <v>51075</v>
      </c>
      <c r="C180" s="34" t="n">
        <f aca="false">IF($B$7="원리금균등",MAX(0,MIN($G$179,ROUND($B$11,0)-$D180)),IF($B$7="원금균등",MIN($G$179,ROUND($B$4/$B$6,0)),IF(159=$B$6,$G$179,0)))</f>
        <v>724329</v>
      </c>
      <c r="D180" s="34" t="n">
        <f aca="false">ROUND($G$179*$B$10,0)</f>
        <v>742723</v>
      </c>
      <c r="E180" s="34" t="n">
        <f aca="false">IF($A180="",0,$C180+$D180)</f>
        <v>1467052</v>
      </c>
      <c r="F180" s="35"/>
      <c r="G180" s="34" t="n">
        <f aca="false">MAX(0,$G$179-$C180-$F180)</f>
        <v>211482301</v>
      </c>
      <c r="H180" s="32" t="str">
        <f aca="false">IF($B180="","",TEXT($B180,"yyyy-mm"))</f>
        <v>2039-11</v>
      </c>
      <c r="I180" s="36" t="n">
        <f aca="false">IF($B$7="원리금균등",MAX(0,MIN($K$179,ROUND($B$11,0)-$J180)),IF($B$7="원금균등",MIN($K$179,ROUND($B$4/$B$6,0)),IF(159=$B$6,$K$179,0)))</f>
        <v>724329</v>
      </c>
      <c r="J180" s="36" t="n">
        <f aca="false">ROUND($K$179*$B$10,0)</f>
        <v>742723</v>
      </c>
      <c r="K180" s="36" t="n">
        <f aca="false">MAX(0,$K$179-$I180)</f>
        <v>211482301</v>
      </c>
    </row>
    <row r="181" customFormat="false" ht="15" hidden="false" customHeight="false" outlineLevel="0" collapsed="false">
      <c r="A181" s="32" t="n">
        <f aca="false">IF(160&gt;$B$6,"",160)</f>
        <v>160</v>
      </c>
      <c r="B181" s="33" t="n">
        <f aca="false">IF($A181="","",EDATE($B$8,160-1))</f>
        <v>51105</v>
      </c>
      <c r="C181" s="34" t="n">
        <f aca="false">IF($B$7="원리금균등",MAX(0,MIN($G$180,ROUND($B$11,0)-$D181)),IF($B$7="원금균등",MIN($G$180,ROUND($B$4/$B$6,0)),IF(160=$B$6,$G$180,0)))</f>
        <v>726864</v>
      </c>
      <c r="D181" s="34" t="n">
        <f aca="false">ROUND($G$180*$B$10,0)</f>
        <v>740188</v>
      </c>
      <c r="E181" s="34" t="n">
        <f aca="false">IF($A181="",0,$C181+$D181)</f>
        <v>1467052</v>
      </c>
      <c r="F181" s="35"/>
      <c r="G181" s="34" t="n">
        <f aca="false">MAX(0,$G$180-$C181-$F181)</f>
        <v>210755437</v>
      </c>
      <c r="H181" s="32" t="str">
        <f aca="false">IF($B181="","",TEXT($B181,"yyyy-mm"))</f>
        <v>2039-12</v>
      </c>
      <c r="I181" s="36" t="n">
        <f aca="false">IF($B$7="원리금균등",MAX(0,MIN($K$180,ROUND($B$11,0)-$J181)),IF($B$7="원금균등",MIN($K$180,ROUND($B$4/$B$6,0)),IF(160=$B$6,$K$180,0)))</f>
        <v>726864</v>
      </c>
      <c r="J181" s="36" t="n">
        <f aca="false">ROUND($K$180*$B$10,0)</f>
        <v>740188</v>
      </c>
      <c r="K181" s="36" t="n">
        <f aca="false">MAX(0,$K$180-$I181)</f>
        <v>210755437</v>
      </c>
    </row>
    <row r="182" customFormat="false" ht="15" hidden="false" customHeight="false" outlineLevel="0" collapsed="false">
      <c r="A182" s="32" t="n">
        <f aca="false">IF(161&gt;$B$6,"",161)</f>
        <v>161</v>
      </c>
      <c r="B182" s="33" t="n">
        <f aca="false">IF($A182="","",EDATE($B$8,161-1))</f>
        <v>51136</v>
      </c>
      <c r="C182" s="34" t="n">
        <f aca="false">IF($B$7="원리금균등",MAX(0,MIN($G$181,ROUND($B$11,0)-$D182)),IF($B$7="원금균등",MIN($G$181,ROUND($B$4/$B$6,0)),IF(161=$B$6,$G$181,0)))</f>
        <v>729408</v>
      </c>
      <c r="D182" s="34" t="n">
        <f aca="false">ROUND($G$181*$B$10,0)</f>
        <v>737644</v>
      </c>
      <c r="E182" s="34" t="n">
        <f aca="false">IF($A182="",0,$C182+$D182)</f>
        <v>1467052</v>
      </c>
      <c r="F182" s="35"/>
      <c r="G182" s="34" t="n">
        <f aca="false">MAX(0,$G$181-$C182-$F182)</f>
        <v>210026029</v>
      </c>
      <c r="H182" s="32" t="str">
        <f aca="false">IF($B182="","",TEXT($B182,"yyyy-mm"))</f>
        <v>2040-01</v>
      </c>
      <c r="I182" s="36" t="n">
        <f aca="false">IF($B$7="원리금균등",MAX(0,MIN($K$181,ROUND($B$11,0)-$J182)),IF($B$7="원금균등",MIN($K$181,ROUND($B$4/$B$6,0)),IF(161=$B$6,$K$181,0)))</f>
        <v>729408</v>
      </c>
      <c r="J182" s="36" t="n">
        <f aca="false">ROUND($K$181*$B$10,0)</f>
        <v>737644</v>
      </c>
      <c r="K182" s="36" t="n">
        <f aca="false">MAX(0,$K$181-$I182)</f>
        <v>210026029</v>
      </c>
    </row>
    <row r="183" customFormat="false" ht="15" hidden="false" customHeight="false" outlineLevel="0" collapsed="false">
      <c r="A183" s="32" t="n">
        <f aca="false">IF(162&gt;$B$6,"",162)</f>
        <v>162</v>
      </c>
      <c r="B183" s="33" t="n">
        <f aca="false">IF($A183="","",EDATE($B$8,162-1))</f>
        <v>51167</v>
      </c>
      <c r="C183" s="34" t="n">
        <f aca="false">IF($B$7="원리금균등",MAX(0,MIN($G$182,ROUND($B$11,0)-$D183)),IF($B$7="원금균등",MIN($G$182,ROUND($B$4/$B$6,0)),IF(162=$B$6,$G$182,0)))</f>
        <v>731961</v>
      </c>
      <c r="D183" s="34" t="n">
        <f aca="false">ROUND($G$182*$B$10,0)</f>
        <v>735091</v>
      </c>
      <c r="E183" s="34" t="n">
        <f aca="false">IF($A183="",0,$C183+$D183)</f>
        <v>1467052</v>
      </c>
      <c r="F183" s="35"/>
      <c r="G183" s="34" t="n">
        <f aca="false">MAX(0,$G$182-$C183-$F183)</f>
        <v>209294068</v>
      </c>
      <c r="H183" s="32" t="str">
        <f aca="false">IF($B183="","",TEXT($B183,"yyyy-mm"))</f>
        <v>2040-02</v>
      </c>
      <c r="I183" s="36" t="n">
        <f aca="false">IF($B$7="원리금균등",MAX(0,MIN($K$182,ROUND($B$11,0)-$J183)),IF($B$7="원금균등",MIN($K$182,ROUND($B$4/$B$6,0)),IF(162=$B$6,$K$182,0)))</f>
        <v>731961</v>
      </c>
      <c r="J183" s="36" t="n">
        <f aca="false">ROUND($K$182*$B$10,0)</f>
        <v>735091</v>
      </c>
      <c r="K183" s="36" t="n">
        <f aca="false">MAX(0,$K$182-$I183)</f>
        <v>209294068</v>
      </c>
    </row>
    <row r="184" customFormat="false" ht="15" hidden="false" customHeight="false" outlineLevel="0" collapsed="false">
      <c r="A184" s="32" t="n">
        <f aca="false">IF(163&gt;$B$6,"",163)</f>
        <v>163</v>
      </c>
      <c r="B184" s="33" t="n">
        <f aca="false">IF($A184="","",EDATE($B$8,163-1))</f>
        <v>51196</v>
      </c>
      <c r="C184" s="34" t="n">
        <f aca="false">IF($B$7="원리금균등",MAX(0,MIN($G$183,ROUND($B$11,0)-$D184)),IF($B$7="원금균등",MIN($G$183,ROUND($B$4/$B$6,0)),IF(163=$B$6,$G$183,0)))</f>
        <v>734523</v>
      </c>
      <c r="D184" s="34" t="n">
        <f aca="false">ROUND($G$183*$B$10,0)</f>
        <v>732529</v>
      </c>
      <c r="E184" s="34" t="n">
        <f aca="false">IF($A184="",0,$C184+$D184)</f>
        <v>1467052</v>
      </c>
      <c r="F184" s="35"/>
      <c r="G184" s="34" t="n">
        <f aca="false">MAX(0,$G$183-$C184-$F184)</f>
        <v>208559545</v>
      </c>
      <c r="H184" s="32" t="str">
        <f aca="false">IF($B184="","",TEXT($B184,"yyyy-mm"))</f>
        <v>2040-03</v>
      </c>
      <c r="I184" s="36" t="n">
        <f aca="false">IF($B$7="원리금균등",MAX(0,MIN($K$183,ROUND($B$11,0)-$J184)),IF($B$7="원금균등",MIN($K$183,ROUND($B$4/$B$6,0)),IF(163=$B$6,$K$183,0)))</f>
        <v>734523</v>
      </c>
      <c r="J184" s="36" t="n">
        <f aca="false">ROUND($K$183*$B$10,0)</f>
        <v>732529</v>
      </c>
      <c r="K184" s="36" t="n">
        <f aca="false">MAX(0,$K$183-$I184)</f>
        <v>208559545</v>
      </c>
    </row>
    <row r="185" customFormat="false" ht="15" hidden="false" customHeight="false" outlineLevel="0" collapsed="false">
      <c r="A185" s="32" t="n">
        <f aca="false">IF(164&gt;$B$6,"",164)</f>
        <v>164</v>
      </c>
      <c r="B185" s="33" t="n">
        <f aca="false">IF($A185="","",EDATE($B$8,164-1))</f>
        <v>51227</v>
      </c>
      <c r="C185" s="34" t="n">
        <f aca="false">IF($B$7="원리금균등",MAX(0,MIN($G$184,ROUND($B$11,0)-$D185)),IF($B$7="원금균등",MIN($G$184,ROUND($B$4/$B$6,0)),IF(164=$B$6,$G$184,0)))</f>
        <v>737094</v>
      </c>
      <c r="D185" s="34" t="n">
        <f aca="false">ROUND($G$184*$B$10,0)</f>
        <v>729958</v>
      </c>
      <c r="E185" s="34" t="n">
        <f aca="false">IF($A185="",0,$C185+$D185)</f>
        <v>1467052</v>
      </c>
      <c r="F185" s="35"/>
      <c r="G185" s="34" t="n">
        <f aca="false">MAX(0,$G$184-$C185-$F185)</f>
        <v>207822451</v>
      </c>
      <c r="H185" s="32" t="str">
        <f aca="false">IF($B185="","",TEXT($B185,"yyyy-mm"))</f>
        <v>2040-04</v>
      </c>
      <c r="I185" s="36" t="n">
        <f aca="false">IF($B$7="원리금균등",MAX(0,MIN($K$184,ROUND($B$11,0)-$J185)),IF($B$7="원금균등",MIN($K$184,ROUND($B$4/$B$6,0)),IF(164=$B$6,$K$184,0)))</f>
        <v>737094</v>
      </c>
      <c r="J185" s="36" t="n">
        <f aca="false">ROUND($K$184*$B$10,0)</f>
        <v>729958</v>
      </c>
      <c r="K185" s="36" t="n">
        <f aca="false">MAX(0,$K$184-$I185)</f>
        <v>207822451</v>
      </c>
    </row>
    <row r="186" customFormat="false" ht="15" hidden="false" customHeight="false" outlineLevel="0" collapsed="false">
      <c r="A186" s="32" t="n">
        <f aca="false">IF(165&gt;$B$6,"",165)</f>
        <v>165</v>
      </c>
      <c r="B186" s="33" t="n">
        <f aca="false">IF($A186="","",EDATE($B$8,165-1))</f>
        <v>51257</v>
      </c>
      <c r="C186" s="34" t="n">
        <f aca="false">IF($B$7="원리금균등",MAX(0,MIN($G$185,ROUND($B$11,0)-$D186)),IF($B$7="원금균등",MIN($G$185,ROUND($B$4/$B$6,0)),IF(165=$B$6,$G$185,0)))</f>
        <v>739673</v>
      </c>
      <c r="D186" s="34" t="n">
        <f aca="false">ROUND($G$185*$B$10,0)</f>
        <v>727379</v>
      </c>
      <c r="E186" s="34" t="n">
        <f aca="false">IF($A186="",0,$C186+$D186)</f>
        <v>1467052</v>
      </c>
      <c r="F186" s="35"/>
      <c r="G186" s="34" t="n">
        <f aca="false">MAX(0,$G$185-$C186-$F186)</f>
        <v>207082778</v>
      </c>
      <c r="H186" s="32" t="str">
        <f aca="false">IF($B186="","",TEXT($B186,"yyyy-mm"))</f>
        <v>2040-05</v>
      </c>
      <c r="I186" s="36" t="n">
        <f aca="false">IF($B$7="원리금균등",MAX(0,MIN($K$185,ROUND($B$11,0)-$J186)),IF($B$7="원금균등",MIN($K$185,ROUND($B$4/$B$6,0)),IF(165=$B$6,$K$185,0)))</f>
        <v>739673</v>
      </c>
      <c r="J186" s="36" t="n">
        <f aca="false">ROUND($K$185*$B$10,0)</f>
        <v>727379</v>
      </c>
      <c r="K186" s="36" t="n">
        <f aca="false">MAX(0,$K$185-$I186)</f>
        <v>207082778</v>
      </c>
    </row>
    <row r="187" customFormat="false" ht="15" hidden="false" customHeight="false" outlineLevel="0" collapsed="false">
      <c r="A187" s="32" t="n">
        <f aca="false">IF(166&gt;$B$6,"",166)</f>
        <v>166</v>
      </c>
      <c r="B187" s="33" t="n">
        <f aca="false">IF($A187="","",EDATE($B$8,166-1))</f>
        <v>51288</v>
      </c>
      <c r="C187" s="34" t="n">
        <f aca="false">IF($B$7="원리금균등",MAX(0,MIN($G$186,ROUND($B$11,0)-$D187)),IF($B$7="원금균등",MIN($G$186,ROUND($B$4/$B$6,0)),IF(166=$B$6,$G$186,0)))</f>
        <v>742262</v>
      </c>
      <c r="D187" s="34" t="n">
        <f aca="false">ROUND($G$186*$B$10,0)</f>
        <v>724790</v>
      </c>
      <c r="E187" s="34" t="n">
        <f aca="false">IF($A187="",0,$C187+$D187)</f>
        <v>1467052</v>
      </c>
      <c r="F187" s="35"/>
      <c r="G187" s="34" t="n">
        <f aca="false">MAX(0,$G$186-$C187-$F187)</f>
        <v>206340516</v>
      </c>
      <c r="H187" s="32" t="str">
        <f aca="false">IF($B187="","",TEXT($B187,"yyyy-mm"))</f>
        <v>2040-06</v>
      </c>
      <c r="I187" s="36" t="n">
        <f aca="false">IF($B$7="원리금균등",MAX(0,MIN($K$186,ROUND($B$11,0)-$J187)),IF($B$7="원금균등",MIN($K$186,ROUND($B$4/$B$6,0)),IF(166=$B$6,$K$186,0)))</f>
        <v>742262</v>
      </c>
      <c r="J187" s="36" t="n">
        <f aca="false">ROUND($K$186*$B$10,0)</f>
        <v>724790</v>
      </c>
      <c r="K187" s="36" t="n">
        <f aca="false">MAX(0,$K$186-$I187)</f>
        <v>206340516</v>
      </c>
    </row>
    <row r="188" customFormat="false" ht="15" hidden="false" customHeight="false" outlineLevel="0" collapsed="false">
      <c r="A188" s="32" t="n">
        <f aca="false">IF(167&gt;$B$6,"",167)</f>
        <v>167</v>
      </c>
      <c r="B188" s="33" t="n">
        <f aca="false">IF($A188="","",EDATE($B$8,167-1))</f>
        <v>51318</v>
      </c>
      <c r="C188" s="34" t="n">
        <f aca="false">IF($B$7="원리금균등",MAX(0,MIN($G$187,ROUND($B$11,0)-$D188)),IF($B$7="원금균등",MIN($G$187,ROUND($B$4/$B$6,0)),IF(167=$B$6,$G$187,0)))</f>
        <v>744860</v>
      </c>
      <c r="D188" s="34" t="n">
        <f aca="false">ROUND($G$187*$B$10,0)</f>
        <v>722192</v>
      </c>
      <c r="E188" s="34" t="n">
        <f aca="false">IF($A188="",0,$C188+$D188)</f>
        <v>1467052</v>
      </c>
      <c r="F188" s="35"/>
      <c r="G188" s="34" t="n">
        <f aca="false">MAX(0,$G$187-$C188-$F188)</f>
        <v>205595656</v>
      </c>
      <c r="H188" s="32" t="str">
        <f aca="false">IF($B188="","",TEXT($B188,"yyyy-mm"))</f>
        <v>2040-07</v>
      </c>
      <c r="I188" s="36" t="n">
        <f aca="false">IF($B$7="원리금균등",MAX(0,MIN($K$187,ROUND($B$11,0)-$J188)),IF($B$7="원금균등",MIN($K$187,ROUND($B$4/$B$6,0)),IF(167=$B$6,$K$187,0)))</f>
        <v>744860</v>
      </c>
      <c r="J188" s="36" t="n">
        <f aca="false">ROUND($K$187*$B$10,0)</f>
        <v>722192</v>
      </c>
      <c r="K188" s="36" t="n">
        <f aca="false">MAX(0,$K$187-$I188)</f>
        <v>205595656</v>
      </c>
    </row>
    <row r="189" customFormat="false" ht="15" hidden="false" customHeight="false" outlineLevel="0" collapsed="false">
      <c r="A189" s="32" t="n">
        <f aca="false">IF(168&gt;$B$6,"",168)</f>
        <v>168</v>
      </c>
      <c r="B189" s="33" t="n">
        <f aca="false">IF($A189="","",EDATE($B$8,168-1))</f>
        <v>51349</v>
      </c>
      <c r="C189" s="34" t="n">
        <f aca="false">IF($B$7="원리금균등",MAX(0,MIN($G$188,ROUND($B$11,0)-$D189)),IF($B$7="원금균등",MIN($G$188,ROUND($B$4/$B$6,0)),IF(168=$B$6,$G$188,0)))</f>
        <v>747467</v>
      </c>
      <c r="D189" s="34" t="n">
        <f aca="false">ROUND($G$188*$B$10,0)</f>
        <v>719585</v>
      </c>
      <c r="E189" s="34" t="n">
        <f aca="false">IF($A189="",0,$C189+$D189)</f>
        <v>1467052</v>
      </c>
      <c r="F189" s="35"/>
      <c r="G189" s="34" t="n">
        <f aca="false">MAX(0,$G$188-$C189-$F189)</f>
        <v>204848189</v>
      </c>
      <c r="H189" s="32" t="str">
        <f aca="false">IF($B189="","",TEXT($B189,"yyyy-mm"))</f>
        <v>2040-08</v>
      </c>
      <c r="I189" s="36" t="n">
        <f aca="false">IF($B$7="원리금균등",MAX(0,MIN($K$188,ROUND($B$11,0)-$J189)),IF($B$7="원금균등",MIN($K$188,ROUND($B$4/$B$6,0)),IF(168=$B$6,$K$188,0)))</f>
        <v>747467</v>
      </c>
      <c r="J189" s="36" t="n">
        <f aca="false">ROUND($K$188*$B$10,0)</f>
        <v>719585</v>
      </c>
      <c r="K189" s="36" t="n">
        <f aca="false">MAX(0,$K$188-$I189)</f>
        <v>204848189</v>
      </c>
    </row>
    <row r="190" customFormat="false" ht="15" hidden="false" customHeight="false" outlineLevel="0" collapsed="false">
      <c r="A190" s="32" t="n">
        <f aca="false">IF(169&gt;$B$6,"",169)</f>
        <v>169</v>
      </c>
      <c r="B190" s="33" t="n">
        <f aca="false">IF($A190="","",EDATE($B$8,169-1))</f>
        <v>51380</v>
      </c>
      <c r="C190" s="34" t="n">
        <f aca="false">IF($B$7="원리금균등",MAX(0,MIN($G$189,ROUND($B$11,0)-$D190)),IF($B$7="원금균등",MIN($G$189,ROUND($B$4/$B$6,0)),IF(169=$B$6,$G$189,0)))</f>
        <v>750083</v>
      </c>
      <c r="D190" s="34" t="n">
        <f aca="false">ROUND($G$189*$B$10,0)</f>
        <v>716969</v>
      </c>
      <c r="E190" s="34" t="n">
        <f aca="false">IF($A190="",0,$C190+$D190)</f>
        <v>1467052</v>
      </c>
      <c r="F190" s="35"/>
      <c r="G190" s="34" t="n">
        <f aca="false">MAX(0,$G$189-$C190-$F190)</f>
        <v>204098106</v>
      </c>
      <c r="H190" s="32" t="str">
        <f aca="false">IF($B190="","",TEXT($B190,"yyyy-mm"))</f>
        <v>2040-09</v>
      </c>
      <c r="I190" s="36" t="n">
        <f aca="false">IF($B$7="원리금균등",MAX(0,MIN($K$189,ROUND($B$11,0)-$J190)),IF($B$7="원금균등",MIN($K$189,ROUND($B$4/$B$6,0)),IF(169=$B$6,$K$189,0)))</f>
        <v>750083</v>
      </c>
      <c r="J190" s="36" t="n">
        <f aca="false">ROUND($K$189*$B$10,0)</f>
        <v>716969</v>
      </c>
      <c r="K190" s="36" t="n">
        <f aca="false">MAX(0,$K$189-$I190)</f>
        <v>204098106</v>
      </c>
    </row>
    <row r="191" customFormat="false" ht="15" hidden="false" customHeight="false" outlineLevel="0" collapsed="false">
      <c r="A191" s="32" t="n">
        <f aca="false">IF(170&gt;$B$6,"",170)</f>
        <v>170</v>
      </c>
      <c r="B191" s="33" t="n">
        <f aca="false">IF($A191="","",EDATE($B$8,170-1))</f>
        <v>51410</v>
      </c>
      <c r="C191" s="34" t="n">
        <f aca="false">IF($B$7="원리금균등",MAX(0,MIN($G$190,ROUND($B$11,0)-$D191)),IF($B$7="원금균등",MIN($G$190,ROUND($B$4/$B$6,0)),IF(170=$B$6,$G$190,0)))</f>
        <v>752709</v>
      </c>
      <c r="D191" s="34" t="n">
        <f aca="false">ROUND($G$190*$B$10,0)</f>
        <v>714343</v>
      </c>
      <c r="E191" s="34" t="n">
        <f aca="false">IF($A191="",0,$C191+$D191)</f>
        <v>1467052</v>
      </c>
      <c r="F191" s="35"/>
      <c r="G191" s="34" t="n">
        <f aca="false">MAX(0,$G$190-$C191-$F191)</f>
        <v>203345397</v>
      </c>
      <c r="H191" s="32" t="str">
        <f aca="false">IF($B191="","",TEXT($B191,"yyyy-mm"))</f>
        <v>2040-10</v>
      </c>
      <c r="I191" s="36" t="n">
        <f aca="false">IF($B$7="원리금균등",MAX(0,MIN($K$190,ROUND($B$11,0)-$J191)),IF($B$7="원금균등",MIN($K$190,ROUND($B$4/$B$6,0)),IF(170=$B$6,$K$190,0)))</f>
        <v>752709</v>
      </c>
      <c r="J191" s="36" t="n">
        <f aca="false">ROUND($K$190*$B$10,0)</f>
        <v>714343</v>
      </c>
      <c r="K191" s="36" t="n">
        <f aca="false">MAX(0,$K$190-$I191)</f>
        <v>203345397</v>
      </c>
    </row>
    <row r="192" customFormat="false" ht="15" hidden="false" customHeight="false" outlineLevel="0" collapsed="false">
      <c r="A192" s="32" t="n">
        <f aca="false">IF(171&gt;$B$6,"",171)</f>
        <v>171</v>
      </c>
      <c r="B192" s="33" t="n">
        <f aca="false">IF($A192="","",EDATE($B$8,171-1))</f>
        <v>51441</v>
      </c>
      <c r="C192" s="34" t="n">
        <f aca="false">IF($B$7="원리금균등",MAX(0,MIN($G$191,ROUND($B$11,0)-$D192)),IF($B$7="원금균등",MIN($G$191,ROUND($B$4/$B$6,0)),IF(171=$B$6,$G$191,0)))</f>
        <v>755343</v>
      </c>
      <c r="D192" s="34" t="n">
        <f aca="false">ROUND($G$191*$B$10,0)</f>
        <v>711709</v>
      </c>
      <c r="E192" s="34" t="n">
        <f aca="false">IF($A192="",0,$C192+$D192)</f>
        <v>1467052</v>
      </c>
      <c r="F192" s="35"/>
      <c r="G192" s="34" t="n">
        <f aca="false">MAX(0,$G$191-$C192-$F192)</f>
        <v>202590054</v>
      </c>
      <c r="H192" s="32" t="str">
        <f aca="false">IF($B192="","",TEXT($B192,"yyyy-mm"))</f>
        <v>2040-11</v>
      </c>
      <c r="I192" s="36" t="n">
        <f aca="false">IF($B$7="원리금균등",MAX(0,MIN($K$191,ROUND($B$11,0)-$J192)),IF($B$7="원금균등",MIN($K$191,ROUND($B$4/$B$6,0)),IF(171=$B$6,$K$191,0)))</f>
        <v>755343</v>
      </c>
      <c r="J192" s="36" t="n">
        <f aca="false">ROUND($K$191*$B$10,0)</f>
        <v>711709</v>
      </c>
      <c r="K192" s="36" t="n">
        <f aca="false">MAX(0,$K$191-$I192)</f>
        <v>202590054</v>
      </c>
    </row>
    <row r="193" customFormat="false" ht="15" hidden="false" customHeight="false" outlineLevel="0" collapsed="false">
      <c r="A193" s="32" t="n">
        <f aca="false">IF(172&gt;$B$6,"",172)</f>
        <v>172</v>
      </c>
      <c r="B193" s="33" t="n">
        <f aca="false">IF($A193="","",EDATE($B$8,172-1))</f>
        <v>51471</v>
      </c>
      <c r="C193" s="34" t="n">
        <f aca="false">IF($B$7="원리금균등",MAX(0,MIN($G$192,ROUND($B$11,0)-$D193)),IF($B$7="원금균등",MIN($G$192,ROUND($B$4/$B$6,0)),IF(172=$B$6,$G$192,0)))</f>
        <v>757987</v>
      </c>
      <c r="D193" s="34" t="n">
        <f aca="false">ROUND($G$192*$B$10,0)</f>
        <v>709065</v>
      </c>
      <c r="E193" s="34" t="n">
        <f aca="false">IF($A193="",0,$C193+$D193)</f>
        <v>1467052</v>
      </c>
      <c r="F193" s="35"/>
      <c r="G193" s="34" t="n">
        <f aca="false">MAX(0,$G$192-$C193-$F193)</f>
        <v>201832067</v>
      </c>
      <c r="H193" s="32" t="str">
        <f aca="false">IF($B193="","",TEXT($B193,"yyyy-mm"))</f>
        <v>2040-12</v>
      </c>
      <c r="I193" s="36" t="n">
        <f aca="false">IF($B$7="원리금균등",MAX(0,MIN($K$192,ROUND($B$11,0)-$J193)),IF($B$7="원금균등",MIN($K$192,ROUND($B$4/$B$6,0)),IF(172=$B$6,$K$192,0)))</f>
        <v>757987</v>
      </c>
      <c r="J193" s="36" t="n">
        <f aca="false">ROUND($K$192*$B$10,0)</f>
        <v>709065</v>
      </c>
      <c r="K193" s="36" t="n">
        <f aca="false">MAX(0,$K$192-$I193)</f>
        <v>201832067</v>
      </c>
    </row>
    <row r="194" customFormat="false" ht="15" hidden="false" customHeight="false" outlineLevel="0" collapsed="false">
      <c r="A194" s="32" t="n">
        <f aca="false">IF(173&gt;$B$6,"",173)</f>
        <v>173</v>
      </c>
      <c r="B194" s="33" t="n">
        <f aca="false">IF($A194="","",EDATE($B$8,173-1))</f>
        <v>51502</v>
      </c>
      <c r="C194" s="34" t="n">
        <f aca="false">IF($B$7="원리금균등",MAX(0,MIN($G$193,ROUND($B$11,0)-$D194)),IF($B$7="원금균등",MIN($G$193,ROUND($B$4/$B$6,0)),IF(173=$B$6,$G$193,0)))</f>
        <v>760640</v>
      </c>
      <c r="D194" s="34" t="n">
        <f aca="false">ROUND($G$193*$B$10,0)</f>
        <v>706412</v>
      </c>
      <c r="E194" s="34" t="n">
        <f aca="false">IF($A194="",0,$C194+$D194)</f>
        <v>1467052</v>
      </c>
      <c r="F194" s="35"/>
      <c r="G194" s="34" t="n">
        <f aca="false">MAX(0,$G$193-$C194-$F194)</f>
        <v>201071427</v>
      </c>
      <c r="H194" s="32" t="str">
        <f aca="false">IF($B194="","",TEXT($B194,"yyyy-mm"))</f>
        <v>2041-01</v>
      </c>
      <c r="I194" s="36" t="n">
        <f aca="false">IF($B$7="원리금균등",MAX(0,MIN($K$193,ROUND($B$11,0)-$J194)),IF($B$7="원금균등",MIN($K$193,ROUND($B$4/$B$6,0)),IF(173=$B$6,$K$193,0)))</f>
        <v>760640</v>
      </c>
      <c r="J194" s="36" t="n">
        <f aca="false">ROUND($K$193*$B$10,0)</f>
        <v>706412</v>
      </c>
      <c r="K194" s="36" t="n">
        <f aca="false">MAX(0,$K$193-$I194)</f>
        <v>201071427</v>
      </c>
    </row>
    <row r="195" customFormat="false" ht="15" hidden="false" customHeight="false" outlineLevel="0" collapsed="false">
      <c r="A195" s="32" t="n">
        <f aca="false">IF(174&gt;$B$6,"",174)</f>
        <v>174</v>
      </c>
      <c r="B195" s="33" t="n">
        <f aca="false">IF($A195="","",EDATE($B$8,174-1))</f>
        <v>51533</v>
      </c>
      <c r="C195" s="34" t="n">
        <f aca="false">IF($B$7="원리금균등",MAX(0,MIN($G$194,ROUND($B$11,0)-$D195)),IF($B$7="원금균등",MIN($G$194,ROUND($B$4/$B$6,0)),IF(174=$B$6,$G$194,0)))</f>
        <v>763302</v>
      </c>
      <c r="D195" s="34" t="n">
        <f aca="false">ROUND($G$194*$B$10,0)</f>
        <v>703750</v>
      </c>
      <c r="E195" s="34" t="n">
        <f aca="false">IF($A195="",0,$C195+$D195)</f>
        <v>1467052</v>
      </c>
      <c r="F195" s="35"/>
      <c r="G195" s="34" t="n">
        <f aca="false">MAX(0,$G$194-$C195-$F195)</f>
        <v>200308125</v>
      </c>
      <c r="H195" s="32" t="str">
        <f aca="false">IF($B195="","",TEXT($B195,"yyyy-mm"))</f>
        <v>2041-02</v>
      </c>
      <c r="I195" s="36" t="n">
        <f aca="false">IF($B$7="원리금균등",MAX(0,MIN($K$194,ROUND($B$11,0)-$J195)),IF($B$7="원금균등",MIN($K$194,ROUND($B$4/$B$6,0)),IF(174=$B$6,$K$194,0)))</f>
        <v>763302</v>
      </c>
      <c r="J195" s="36" t="n">
        <f aca="false">ROUND($K$194*$B$10,0)</f>
        <v>703750</v>
      </c>
      <c r="K195" s="36" t="n">
        <f aca="false">MAX(0,$K$194-$I195)</f>
        <v>200308125</v>
      </c>
    </row>
    <row r="196" customFormat="false" ht="15" hidden="false" customHeight="false" outlineLevel="0" collapsed="false">
      <c r="A196" s="32" t="n">
        <f aca="false">IF(175&gt;$B$6,"",175)</f>
        <v>175</v>
      </c>
      <c r="B196" s="33" t="n">
        <f aca="false">IF($A196="","",EDATE($B$8,175-1))</f>
        <v>51561</v>
      </c>
      <c r="C196" s="34" t="n">
        <f aca="false">IF($B$7="원리금균등",MAX(0,MIN($G$195,ROUND($B$11,0)-$D196)),IF($B$7="원금균등",MIN($G$195,ROUND($B$4/$B$6,0)),IF(175=$B$6,$G$195,0)))</f>
        <v>765974</v>
      </c>
      <c r="D196" s="34" t="n">
        <f aca="false">ROUND($G$195*$B$10,0)</f>
        <v>701078</v>
      </c>
      <c r="E196" s="34" t="n">
        <f aca="false">IF($A196="",0,$C196+$D196)</f>
        <v>1467052</v>
      </c>
      <c r="F196" s="35"/>
      <c r="G196" s="34" t="n">
        <f aca="false">MAX(0,$G$195-$C196-$F196)</f>
        <v>199542151</v>
      </c>
      <c r="H196" s="32" t="str">
        <f aca="false">IF($B196="","",TEXT($B196,"yyyy-mm"))</f>
        <v>2041-03</v>
      </c>
      <c r="I196" s="36" t="n">
        <f aca="false">IF($B$7="원리금균등",MAX(0,MIN($K$195,ROUND($B$11,0)-$J196)),IF($B$7="원금균등",MIN($K$195,ROUND($B$4/$B$6,0)),IF(175=$B$6,$K$195,0)))</f>
        <v>765974</v>
      </c>
      <c r="J196" s="36" t="n">
        <f aca="false">ROUND($K$195*$B$10,0)</f>
        <v>701078</v>
      </c>
      <c r="K196" s="36" t="n">
        <f aca="false">MAX(0,$K$195-$I196)</f>
        <v>199542151</v>
      </c>
    </row>
    <row r="197" customFormat="false" ht="15" hidden="false" customHeight="false" outlineLevel="0" collapsed="false">
      <c r="A197" s="32" t="n">
        <f aca="false">IF(176&gt;$B$6,"",176)</f>
        <v>176</v>
      </c>
      <c r="B197" s="33" t="n">
        <f aca="false">IF($A197="","",EDATE($B$8,176-1))</f>
        <v>51592</v>
      </c>
      <c r="C197" s="34" t="n">
        <f aca="false">IF($B$7="원리금균등",MAX(0,MIN($G$196,ROUND($B$11,0)-$D197)),IF($B$7="원금균등",MIN($G$196,ROUND($B$4/$B$6,0)),IF(176=$B$6,$G$196,0)))</f>
        <v>768654</v>
      </c>
      <c r="D197" s="34" t="n">
        <f aca="false">ROUND($G$196*$B$10,0)</f>
        <v>698398</v>
      </c>
      <c r="E197" s="34" t="n">
        <f aca="false">IF($A197="",0,$C197+$D197)</f>
        <v>1467052</v>
      </c>
      <c r="F197" s="35"/>
      <c r="G197" s="34" t="n">
        <f aca="false">MAX(0,$G$196-$C197-$F197)</f>
        <v>198773497</v>
      </c>
      <c r="H197" s="32" t="str">
        <f aca="false">IF($B197="","",TEXT($B197,"yyyy-mm"))</f>
        <v>2041-04</v>
      </c>
      <c r="I197" s="36" t="n">
        <f aca="false">IF($B$7="원리금균등",MAX(0,MIN($K$196,ROUND($B$11,0)-$J197)),IF($B$7="원금균등",MIN($K$196,ROUND($B$4/$B$6,0)),IF(176=$B$6,$K$196,0)))</f>
        <v>768654</v>
      </c>
      <c r="J197" s="36" t="n">
        <f aca="false">ROUND($K$196*$B$10,0)</f>
        <v>698398</v>
      </c>
      <c r="K197" s="36" t="n">
        <f aca="false">MAX(0,$K$196-$I197)</f>
        <v>198773497</v>
      </c>
    </row>
    <row r="198" customFormat="false" ht="15" hidden="false" customHeight="false" outlineLevel="0" collapsed="false">
      <c r="A198" s="32" t="n">
        <f aca="false">IF(177&gt;$B$6,"",177)</f>
        <v>177</v>
      </c>
      <c r="B198" s="33" t="n">
        <f aca="false">IF($A198="","",EDATE($B$8,177-1))</f>
        <v>51622</v>
      </c>
      <c r="C198" s="34" t="n">
        <f aca="false">IF($B$7="원리금균등",MAX(0,MIN($G$197,ROUND($B$11,0)-$D198)),IF($B$7="원금균등",MIN($G$197,ROUND($B$4/$B$6,0)),IF(177=$B$6,$G$197,0)))</f>
        <v>771345</v>
      </c>
      <c r="D198" s="34" t="n">
        <f aca="false">ROUND($G$197*$B$10,0)</f>
        <v>695707</v>
      </c>
      <c r="E198" s="34" t="n">
        <f aca="false">IF($A198="",0,$C198+$D198)</f>
        <v>1467052</v>
      </c>
      <c r="F198" s="35"/>
      <c r="G198" s="34" t="n">
        <f aca="false">MAX(0,$G$197-$C198-$F198)</f>
        <v>198002152</v>
      </c>
      <c r="H198" s="32" t="str">
        <f aca="false">IF($B198="","",TEXT($B198,"yyyy-mm"))</f>
        <v>2041-05</v>
      </c>
      <c r="I198" s="36" t="n">
        <f aca="false">IF($B$7="원리금균등",MAX(0,MIN($K$197,ROUND($B$11,0)-$J198)),IF($B$7="원금균등",MIN($K$197,ROUND($B$4/$B$6,0)),IF(177=$B$6,$K$197,0)))</f>
        <v>771345</v>
      </c>
      <c r="J198" s="36" t="n">
        <f aca="false">ROUND($K$197*$B$10,0)</f>
        <v>695707</v>
      </c>
      <c r="K198" s="36" t="n">
        <f aca="false">MAX(0,$K$197-$I198)</f>
        <v>198002152</v>
      </c>
    </row>
    <row r="199" customFormat="false" ht="15" hidden="false" customHeight="false" outlineLevel="0" collapsed="false">
      <c r="A199" s="32" t="n">
        <f aca="false">IF(178&gt;$B$6,"",178)</f>
        <v>178</v>
      </c>
      <c r="B199" s="33" t="n">
        <f aca="false">IF($A199="","",EDATE($B$8,178-1))</f>
        <v>51653</v>
      </c>
      <c r="C199" s="34" t="n">
        <f aca="false">IF($B$7="원리금균등",MAX(0,MIN($G$198,ROUND($B$11,0)-$D199)),IF($B$7="원금균등",MIN($G$198,ROUND($B$4/$B$6,0)),IF(178=$B$6,$G$198,0)))</f>
        <v>774044</v>
      </c>
      <c r="D199" s="34" t="n">
        <f aca="false">ROUND($G$198*$B$10,0)</f>
        <v>693008</v>
      </c>
      <c r="E199" s="34" t="n">
        <f aca="false">IF($A199="",0,$C199+$D199)</f>
        <v>1467052</v>
      </c>
      <c r="F199" s="35"/>
      <c r="G199" s="34" t="n">
        <f aca="false">MAX(0,$G$198-$C199-$F199)</f>
        <v>197228108</v>
      </c>
      <c r="H199" s="32" t="str">
        <f aca="false">IF($B199="","",TEXT($B199,"yyyy-mm"))</f>
        <v>2041-06</v>
      </c>
      <c r="I199" s="36" t="n">
        <f aca="false">IF($B$7="원리금균등",MAX(0,MIN($K$198,ROUND($B$11,0)-$J199)),IF($B$7="원금균등",MIN($K$198,ROUND($B$4/$B$6,0)),IF(178=$B$6,$K$198,0)))</f>
        <v>774044</v>
      </c>
      <c r="J199" s="36" t="n">
        <f aca="false">ROUND($K$198*$B$10,0)</f>
        <v>693008</v>
      </c>
      <c r="K199" s="36" t="n">
        <f aca="false">MAX(0,$K$198-$I199)</f>
        <v>197228108</v>
      </c>
    </row>
    <row r="200" customFormat="false" ht="15" hidden="false" customHeight="false" outlineLevel="0" collapsed="false">
      <c r="A200" s="32" t="n">
        <f aca="false">IF(179&gt;$B$6,"",179)</f>
        <v>179</v>
      </c>
      <c r="B200" s="33" t="n">
        <f aca="false">IF($A200="","",EDATE($B$8,179-1))</f>
        <v>51683</v>
      </c>
      <c r="C200" s="34" t="n">
        <f aca="false">IF($B$7="원리금균등",MAX(0,MIN($G$199,ROUND($B$11,0)-$D200)),IF($B$7="원금균등",MIN($G$199,ROUND($B$4/$B$6,0)),IF(179=$B$6,$G$199,0)))</f>
        <v>776754</v>
      </c>
      <c r="D200" s="34" t="n">
        <f aca="false">ROUND($G$199*$B$10,0)</f>
        <v>690298</v>
      </c>
      <c r="E200" s="34" t="n">
        <f aca="false">IF($A200="",0,$C200+$D200)</f>
        <v>1467052</v>
      </c>
      <c r="F200" s="35"/>
      <c r="G200" s="34" t="n">
        <f aca="false">MAX(0,$G$199-$C200-$F200)</f>
        <v>196451354</v>
      </c>
      <c r="H200" s="32" t="str">
        <f aca="false">IF($B200="","",TEXT($B200,"yyyy-mm"))</f>
        <v>2041-07</v>
      </c>
      <c r="I200" s="36" t="n">
        <f aca="false">IF($B$7="원리금균등",MAX(0,MIN($K$199,ROUND($B$11,0)-$J200)),IF($B$7="원금균등",MIN($K$199,ROUND($B$4/$B$6,0)),IF(179=$B$6,$K$199,0)))</f>
        <v>776754</v>
      </c>
      <c r="J200" s="36" t="n">
        <f aca="false">ROUND($K$199*$B$10,0)</f>
        <v>690298</v>
      </c>
      <c r="K200" s="36" t="n">
        <f aca="false">MAX(0,$K$199-$I200)</f>
        <v>196451354</v>
      </c>
    </row>
    <row r="201" customFormat="false" ht="15" hidden="false" customHeight="false" outlineLevel="0" collapsed="false">
      <c r="A201" s="32" t="n">
        <f aca="false">IF(180&gt;$B$6,"",180)</f>
        <v>180</v>
      </c>
      <c r="B201" s="33" t="n">
        <f aca="false">IF($A201="","",EDATE($B$8,180-1))</f>
        <v>51714</v>
      </c>
      <c r="C201" s="34" t="n">
        <f aca="false">IF($B$7="원리금균등",MAX(0,MIN($G$200,ROUND($B$11,0)-$D201)),IF($B$7="원금균등",MIN($G$200,ROUND($B$4/$B$6,0)),IF(180=$B$6,$G$200,0)))</f>
        <v>779472</v>
      </c>
      <c r="D201" s="34" t="n">
        <f aca="false">ROUND($G$200*$B$10,0)</f>
        <v>687580</v>
      </c>
      <c r="E201" s="34" t="n">
        <f aca="false">IF($A201="",0,$C201+$D201)</f>
        <v>1467052</v>
      </c>
      <c r="F201" s="35"/>
      <c r="G201" s="34" t="n">
        <f aca="false">MAX(0,$G$200-$C201-$F201)</f>
        <v>195671882</v>
      </c>
      <c r="H201" s="32" t="str">
        <f aca="false">IF($B201="","",TEXT($B201,"yyyy-mm"))</f>
        <v>2041-08</v>
      </c>
      <c r="I201" s="36" t="n">
        <f aca="false">IF($B$7="원리금균등",MAX(0,MIN($K$200,ROUND($B$11,0)-$J201)),IF($B$7="원금균등",MIN($K$200,ROUND($B$4/$B$6,0)),IF(180=$B$6,$K$200,0)))</f>
        <v>779472</v>
      </c>
      <c r="J201" s="36" t="n">
        <f aca="false">ROUND($K$200*$B$10,0)</f>
        <v>687580</v>
      </c>
      <c r="K201" s="36" t="n">
        <f aca="false">MAX(0,$K$200-$I201)</f>
        <v>195671882</v>
      </c>
    </row>
    <row r="202" customFormat="false" ht="15" hidden="false" customHeight="false" outlineLevel="0" collapsed="false">
      <c r="A202" s="32" t="n">
        <f aca="false">IF(181&gt;$B$6,"",181)</f>
        <v>181</v>
      </c>
      <c r="B202" s="33" t="n">
        <f aca="false">IF($A202="","",EDATE($B$8,181-1))</f>
        <v>51745</v>
      </c>
      <c r="C202" s="34" t="n">
        <f aca="false">IF($B$7="원리금균등",MAX(0,MIN($G$201,ROUND($B$11,0)-$D202)),IF($B$7="원금균등",MIN($G$201,ROUND($B$4/$B$6,0)),IF(181=$B$6,$G$201,0)))</f>
        <v>782200</v>
      </c>
      <c r="D202" s="34" t="n">
        <f aca="false">ROUND($G$201*$B$10,0)</f>
        <v>684852</v>
      </c>
      <c r="E202" s="34" t="n">
        <f aca="false">IF($A202="",0,$C202+$D202)</f>
        <v>1467052</v>
      </c>
      <c r="F202" s="35"/>
      <c r="G202" s="34" t="n">
        <f aca="false">MAX(0,$G$201-$C202-$F202)</f>
        <v>194889682</v>
      </c>
      <c r="H202" s="32" t="str">
        <f aca="false">IF($B202="","",TEXT($B202,"yyyy-mm"))</f>
        <v>2041-09</v>
      </c>
      <c r="I202" s="36" t="n">
        <f aca="false">IF($B$7="원리금균등",MAX(0,MIN($K$201,ROUND($B$11,0)-$J202)),IF($B$7="원금균등",MIN($K$201,ROUND($B$4/$B$6,0)),IF(181=$B$6,$K$201,0)))</f>
        <v>782200</v>
      </c>
      <c r="J202" s="36" t="n">
        <f aca="false">ROUND($K$201*$B$10,0)</f>
        <v>684852</v>
      </c>
      <c r="K202" s="36" t="n">
        <f aca="false">MAX(0,$K$201-$I202)</f>
        <v>194889682</v>
      </c>
    </row>
    <row r="203" customFormat="false" ht="15" hidden="false" customHeight="false" outlineLevel="0" collapsed="false">
      <c r="A203" s="32" t="n">
        <f aca="false">IF(182&gt;$B$6,"",182)</f>
        <v>182</v>
      </c>
      <c r="B203" s="33" t="n">
        <f aca="false">IF($A203="","",EDATE($B$8,182-1))</f>
        <v>51775</v>
      </c>
      <c r="C203" s="34" t="n">
        <f aca="false">IF($B$7="원리금균등",MAX(0,MIN($G$202,ROUND($B$11,0)-$D203)),IF($B$7="원금균등",MIN($G$202,ROUND($B$4/$B$6,0)),IF(182=$B$6,$G$202,0)))</f>
        <v>784938</v>
      </c>
      <c r="D203" s="34" t="n">
        <f aca="false">ROUND($G$202*$B$10,0)</f>
        <v>682114</v>
      </c>
      <c r="E203" s="34" t="n">
        <f aca="false">IF($A203="",0,$C203+$D203)</f>
        <v>1467052</v>
      </c>
      <c r="F203" s="35"/>
      <c r="G203" s="34" t="n">
        <f aca="false">MAX(0,$G$202-$C203-$F203)</f>
        <v>194104744</v>
      </c>
      <c r="H203" s="32" t="str">
        <f aca="false">IF($B203="","",TEXT($B203,"yyyy-mm"))</f>
        <v>2041-10</v>
      </c>
      <c r="I203" s="36" t="n">
        <f aca="false">IF($B$7="원리금균등",MAX(0,MIN($K$202,ROUND($B$11,0)-$J203)),IF($B$7="원금균등",MIN($K$202,ROUND($B$4/$B$6,0)),IF(182=$B$6,$K$202,0)))</f>
        <v>784938</v>
      </c>
      <c r="J203" s="36" t="n">
        <f aca="false">ROUND($K$202*$B$10,0)</f>
        <v>682114</v>
      </c>
      <c r="K203" s="36" t="n">
        <f aca="false">MAX(0,$K$202-$I203)</f>
        <v>194104744</v>
      </c>
    </row>
    <row r="204" customFormat="false" ht="15" hidden="false" customHeight="false" outlineLevel="0" collapsed="false">
      <c r="A204" s="32" t="n">
        <f aca="false">IF(183&gt;$B$6,"",183)</f>
        <v>183</v>
      </c>
      <c r="B204" s="33" t="n">
        <f aca="false">IF($A204="","",EDATE($B$8,183-1))</f>
        <v>51806</v>
      </c>
      <c r="C204" s="34" t="n">
        <f aca="false">IF($B$7="원리금균등",MAX(0,MIN($G$203,ROUND($B$11,0)-$D204)),IF($B$7="원금균등",MIN($G$203,ROUND($B$4/$B$6,0)),IF(183=$B$6,$G$203,0)))</f>
        <v>787685</v>
      </c>
      <c r="D204" s="34" t="n">
        <f aca="false">ROUND($G$203*$B$10,0)</f>
        <v>679367</v>
      </c>
      <c r="E204" s="34" t="n">
        <f aca="false">IF($A204="",0,$C204+$D204)</f>
        <v>1467052</v>
      </c>
      <c r="F204" s="35"/>
      <c r="G204" s="34" t="n">
        <f aca="false">MAX(0,$G$203-$C204-$F204)</f>
        <v>193317059</v>
      </c>
      <c r="H204" s="32" t="str">
        <f aca="false">IF($B204="","",TEXT($B204,"yyyy-mm"))</f>
        <v>2041-11</v>
      </c>
      <c r="I204" s="36" t="n">
        <f aca="false">IF($B$7="원리금균등",MAX(0,MIN($K$203,ROUND($B$11,0)-$J204)),IF($B$7="원금균등",MIN($K$203,ROUND($B$4/$B$6,0)),IF(183=$B$6,$K$203,0)))</f>
        <v>787685</v>
      </c>
      <c r="J204" s="36" t="n">
        <f aca="false">ROUND($K$203*$B$10,0)</f>
        <v>679367</v>
      </c>
      <c r="K204" s="36" t="n">
        <f aca="false">MAX(0,$K$203-$I204)</f>
        <v>193317059</v>
      </c>
    </row>
    <row r="205" customFormat="false" ht="15" hidden="false" customHeight="false" outlineLevel="0" collapsed="false">
      <c r="A205" s="32" t="n">
        <f aca="false">IF(184&gt;$B$6,"",184)</f>
        <v>184</v>
      </c>
      <c r="B205" s="33" t="n">
        <f aca="false">IF($A205="","",EDATE($B$8,184-1))</f>
        <v>51836</v>
      </c>
      <c r="C205" s="34" t="n">
        <f aca="false">IF($B$7="원리금균등",MAX(0,MIN($G$204,ROUND($B$11,0)-$D205)),IF($B$7="원금균등",MIN($G$204,ROUND($B$4/$B$6,0)),IF(184=$B$6,$G$204,0)))</f>
        <v>790442</v>
      </c>
      <c r="D205" s="34" t="n">
        <f aca="false">ROUND($G$204*$B$10,0)</f>
        <v>676610</v>
      </c>
      <c r="E205" s="34" t="n">
        <f aca="false">IF($A205="",0,$C205+$D205)</f>
        <v>1467052</v>
      </c>
      <c r="F205" s="35"/>
      <c r="G205" s="34" t="n">
        <f aca="false">MAX(0,$G$204-$C205-$F205)</f>
        <v>192526617</v>
      </c>
      <c r="H205" s="32" t="str">
        <f aca="false">IF($B205="","",TEXT($B205,"yyyy-mm"))</f>
        <v>2041-12</v>
      </c>
      <c r="I205" s="36" t="n">
        <f aca="false">IF($B$7="원리금균등",MAX(0,MIN($K$204,ROUND($B$11,0)-$J205)),IF($B$7="원금균등",MIN($K$204,ROUND($B$4/$B$6,0)),IF(184=$B$6,$K$204,0)))</f>
        <v>790442</v>
      </c>
      <c r="J205" s="36" t="n">
        <f aca="false">ROUND($K$204*$B$10,0)</f>
        <v>676610</v>
      </c>
      <c r="K205" s="36" t="n">
        <f aca="false">MAX(0,$K$204-$I205)</f>
        <v>192526617</v>
      </c>
    </row>
    <row r="206" customFormat="false" ht="15" hidden="false" customHeight="false" outlineLevel="0" collapsed="false">
      <c r="A206" s="32" t="n">
        <f aca="false">IF(185&gt;$B$6,"",185)</f>
        <v>185</v>
      </c>
      <c r="B206" s="33" t="n">
        <f aca="false">IF($A206="","",EDATE($B$8,185-1))</f>
        <v>51867</v>
      </c>
      <c r="C206" s="34" t="n">
        <f aca="false">IF($B$7="원리금균등",MAX(0,MIN($G$205,ROUND($B$11,0)-$D206)),IF($B$7="원금균등",MIN($G$205,ROUND($B$4/$B$6,0)),IF(185=$B$6,$G$205,0)))</f>
        <v>793209</v>
      </c>
      <c r="D206" s="34" t="n">
        <f aca="false">ROUND($G$205*$B$10,0)</f>
        <v>673843</v>
      </c>
      <c r="E206" s="34" t="n">
        <f aca="false">IF($A206="",0,$C206+$D206)</f>
        <v>1467052</v>
      </c>
      <c r="F206" s="35"/>
      <c r="G206" s="34" t="n">
        <f aca="false">MAX(0,$G$205-$C206-$F206)</f>
        <v>191733408</v>
      </c>
      <c r="H206" s="32" t="str">
        <f aca="false">IF($B206="","",TEXT($B206,"yyyy-mm"))</f>
        <v>2042-01</v>
      </c>
      <c r="I206" s="36" t="n">
        <f aca="false">IF($B$7="원리금균등",MAX(0,MIN($K$205,ROUND($B$11,0)-$J206)),IF($B$7="원금균등",MIN($K$205,ROUND($B$4/$B$6,0)),IF(185=$B$6,$K$205,0)))</f>
        <v>793209</v>
      </c>
      <c r="J206" s="36" t="n">
        <f aca="false">ROUND($K$205*$B$10,0)</f>
        <v>673843</v>
      </c>
      <c r="K206" s="36" t="n">
        <f aca="false">MAX(0,$K$205-$I206)</f>
        <v>191733408</v>
      </c>
    </row>
    <row r="207" customFormat="false" ht="15" hidden="false" customHeight="false" outlineLevel="0" collapsed="false">
      <c r="A207" s="32" t="n">
        <f aca="false">IF(186&gt;$B$6,"",186)</f>
        <v>186</v>
      </c>
      <c r="B207" s="33" t="n">
        <f aca="false">IF($A207="","",EDATE($B$8,186-1))</f>
        <v>51898</v>
      </c>
      <c r="C207" s="34" t="n">
        <f aca="false">IF($B$7="원리금균등",MAX(0,MIN($G$206,ROUND($B$11,0)-$D207)),IF($B$7="원금균등",MIN($G$206,ROUND($B$4/$B$6,0)),IF(186=$B$6,$G$206,0)))</f>
        <v>795985</v>
      </c>
      <c r="D207" s="34" t="n">
        <f aca="false">ROUND($G$206*$B$10,0)</f>
        <v>671067</v>
      </c>
      <c r="E207" s="34" t="n">
        <f aca="false">IF($A207="",0,$C207+$D207)</f>
        <v>1467052</v>
      </c>
      <c r="F207" s="35"/>
      <c r="G207" s="34" t="n">
        <f aca="false">MAX(0,$G$206-$C207-$F207)</f>
        <v>190937423</v>
      </c>
      <c r="H207" s="32" t="str">
        <f aca="false">IF($B207="","",TEXT($B207,"yyyy-mm"))</f>
        <v>2042-02</v>
      </c>
      <c r="I207" s="36" t="n">
        <f aca="false">IF($B$7="원리금균등",MAX(0,MIN($K$206,ROUND($B$11,0)-$J207)),IF($B$7="원금균등",MIN($K$206,ROUND($B$4/$B$6,0)),IF(186=$B$6,$K$206,0)))</f>
        <v>795985</v>
      </c>
      <c r="J207" s="36" t="n">
        <f aca="false">ROUND($K$206*$B$10,0)</f>
        <v>671067</v>
      </c>
      <c r="K207" s="36" t="n">
        <f aca="false">MAX(0,$K$206-$I207)</f>
        <v>190937423</v>
      </c>
    </row>
    <row r="208" customFormat="false" ht="15" hidden="false" customHeight="false" outlineLevel="0" collapsed="false">
      <c r="A208" s="32" t="n">
        <f aca="false">IF(187&gt;$B$6,"",187)</f>
        <v>187</v>
      </c>
      <c r="B208" s="33" t="n">
        <f aca="false">IF($A208="","",EDATE($B$8,187-1))</f>
        <v>51926</v>
      </c>
      <c r="C208" s="34" t="n">
        <f aca="false">IF($B$7="원리금균등",MAX(0,MIN($G$207,ROUND($B$11,0)-$D208)),IF($B$7="원금균등",MIN($G$207,ROUND($B$4/$B$6,0)),IF(187=$B$6,$G$207,0)))</f>
        <v>798771</v>
      </c>
      <c r="D208" s="34" t="n">
        <f aca="false">ROUND($G$207*$B$10,0)</f>
        <v>668281</v>
      </c>
      <c r="E208" s="34" t="n">
        <f aca="false">IF($A208="",0,$C208+$D208)</f>
        <v>1467052</v>
      </c>
      <c r="F208" s="35"/>
      <c r="G208" s="34" t="n">
        <f aca="false">MAX(0,$G$207-$C208-$F208)</f>
        <v>190138652</v>
      </c>
      <c r="H208" s="32" t="str">
        <f aca="false">IF($B208="","",TEXT($B208,"yyyy-mm"))</f>
        <v>2042-03</v>
      </c>
      <c r="I208" s="36" t="n">
        <f aca="false">IF($B$7="원리금균등",MAX(0,MIN($K$207,ROUND($B$11,0)-$J208)),IF($B$7="원금균등",MIN($K$207,ROUND($B$4/$B$6,0)),IF(187=$B$6,$K$207,0)))</f>
        <v>798771</v>
      </c>
      <c r="J208" s="36" t="n">
        <f aca="false">ROUND($K$207*$B$10,0)</f>
        <v>668281</v>
      </c>
      <c r="K208" s="36" t="n">
        <f aca="false">MAX(0,$K$207-$I208)</f>
        <v>190138652</v>
      </c>
    </row>
    <row r="209" customFormat="false" ht="15" hidden="false" customHeight="false" outlineLevel="0" collapsed="false">
      <c r="A209" s="32" t="n">
        <f aca="false">IF(188&gt;$B$6,"",188)</f>
        <v>188</v>
      </c>
      <c r="B209" s="33" t="n">
        <f aca="false">IF($A209="","",EDATE($B$8,188-1))</f>
        <v>51957</v>
      </c>
      <c r="C209" s="34" t="n">
        <f aca="false">IF($B$7="원리금균등",MAX(0,MIN($G$208,ROUND($B$11,0)-$D209)),IF($B$7="원금균등",MIN($G$208,ROUND($B$4/$B$6,0)),IF(188=$B$6,$G$208,0)))</f>
        <v>801567</v>
      </c>
      <c r="D209" s="34" t="n">
        <f aca="false">ROUND($G$208*$B$10,0)</f>
        <v>665485</v>
      </c>
      <c r="E209" s="34" t="n">
        <f aca="false">IF($A209="",0,$C209+$D209)</f>
        <v>1467052</v>
      </c>
      <c r="F209" s="35"/>
      <c r="G209" s="34" t="n">
        <f aca="false">MAX(0,$G$208-$C209-$F209)</f>
        <v>189337085</v>
      </c>
      <c r="H209" s="32" t="str">
        <f aca="false">IF($B209="","",TEXT($B209,"yyyy-mm"))</f>
        <v>2042-04</v>
      </c>
      <c r="I209" s="36" t="n">
        <f aca="false">IF($B$7="원리금균등",MAX(0,MIN($K$208,ROUND($B$11,0)-$J209)),IF($B$7="원금균등",MIN($K$208,ROUND($B$4/$B$6,0)),IF(188=$B$6,$K$208,0)))</f>
        <v>801567</v>
      </c>
      <c r="J209" s="36" t="n">
        <f aca="false">ROUND($K$208*$B$10,0)</f>
        <v>665485</v>
      </c>
      <c r="K209" s="36" t="n">
        <f aca="false">MAX(0,$K$208-$I209)</f>
        <v>189337085</v>
      </c>
    </row>
    <row r="210" customFormat="false" ht="15" hidden="false" customHeight="false" outlineLevel="0" collapsed="false">
      <c r="A210" s="32" t="n">
        <f aca="false">IF(189&gt;$B$6,"",189)</f>
        <v>189</v>
      </c>
      <c r="B210" s="33" t="n">
        <f aca="false">IF($A210="","",EDATE($B$8,189-1))</f>
        <v>51987</v>
      </c>
      <c r="C210" s="34" t="n">
        <f aca="false">IF($B$7="원리금균등",MAX(0,MIN($G$209,ROUND($B$11,0)-$D210)),IF($B$7="원금균등",MIN($G$209,ROUND($B$4/$B$6,0)),IF(189=$B$6,$G$209,0)))</f>
        <v>804372</v>
      </c>
      <c r="D210" s="34" t="n">
        <f aca="false">ROUND($G$209*$B$10,0)</f>
        <v>662680</v>
      </c>
      <c r="E210" s="34" t="n">
        <f aca="false">IF($A210="",0,$C210+$D210)</f>
        <v>1467052</v>
      </c>
      <c r="F210" s="35"/>
      <c r="G210" s="34" t="n">
        <f aca="false">MAX(0,$G$209-$C210-$F210)</f>
        <v>188532713</v>
      </c>
      <c r="H210" s="32" t="str">
        <f aca="false">IF($B210="","",TEXT($B210,"yyyy-mm"))</f>
        <v>2042-05</v>
      </c>
      <c r="I210" s="36" t="n">
        <f aca="false">IF($B$7="원리금균등",MAX(0,MIN($K$209,ROUND($B$11,0)-$J210)),IF($B$7="원금균등",MIN($K$209,ROUND($B$4/$B$6,0)),IF(189=$B$6,$K$209,0)))</f>
        <v>804372</v>
      </c>
      <c r="J210" s="36" t="n">
        <f aca="false">ROUND($K$209*$B$10,0)</f>
        <v>662680</v>
      </c>
      <c r="K210" s="36" t="n">
        <f aca="false">MAX(0,$K$209-$I210)</f>
        <v>188532713</v>
      </c>
    </row>
    <row r="211" customFormat="false" ht="15" hidden="false" customHeight="false" outlineLevel="0" collapsed="false">
      <c r="A211" s="32" t="n">
        <f aca="false">IF(190&gt;$B$6,"",190)</f>
        <v>190</v>
      </c>
      <c r="B211" s="33" t="n">
        <f aca="false">IF($A211="","",EDATE($B$8,190-1))</f>
        <v>52018</v>
      </c>
      <c r="C211" s="34" t="n">
        <f aca="false">IF($B$7="원리금균등",MAX(0,MIN($G$210,ROUND($B$11,0)-$D211)),IF($B$7="원금균등",MIN($G$210,ROUND($B$4/$B$6,0)),IF(190=$B$6,$G$210,0)))</f>
        <v>807188</v>
      </c>
      <c r="D211" s="34" t="n">
        <f aca="false">ROUND($G$210*$B$10,0)</f>
        <v>659864</v>
      </c>
      <c r="E211" s="34" t="n">
        <f aca="false">IF($A211="",0,$C211+$D211)</f>
        <v>1467052</v>
      </c>
      <c r="F211" s="35"/>
      <c r="G211" s="34" t="n">
        <f aca="false">MAX(0,$G$210-$C211-$F211)</f>
        <v>187725525</v>
      </c>
      <c r="H211" s="32" t="str">
        <f aca="false">IF($B211="","",TEXT($B211,"yyyy-mm"))</f>
        <v>2042-06</v>
      </c>
      <c r="I211" s="36" t="n">
        <f aca="false">IF($B$7="원리금균등",MAX(0,MIN($K$210,ROUND($B$11,0)-$J211)),IF($B$7="원금균등",MIN($K$210,ROUND($B$4/$B$6,0)),IF(190=$B$6,$K$210,0)))</f>
        <v>807188</v>
      </c>
      <c r="J211" s="36" t="n">
        <f aca="false">ROUND($K$210*$B$10,0)</f>
        <v>659864</v>
      </c>
      <c r="K211" s="36" t="n">
        <f aca="false">MAX(0,$K$210-$I211)</f>
        <v>187725525</v>
      </c>
    </row>
    <row r="212" customFormat="false" ht="15" hidden="false" customHeight="false" outlineLevel="0" collapsed="false">
      <c r="A212" s="32" t="n">
        <f aca="false">IF(191&gt;$B$6,"",191)</f>
        <v>191</v>
      </c>
      <c r="B212" s="33" t="n">
        <f aca="false">IF($A212="","",EDATE($B$8,191-1))</f>
        <v>52048</v>
      </c>
      <c r="C212" s="34" t="n">
        <f aca="false">IF($B$7="원리금균등",MAX(0,MIN($G$211,ROUND($B$11,0)-$D212)),IF($B$7="원금균등",MIN($G$211,ROUND($B$4/$B$6,0)),IF(191=$B$6,$G$211,0)))</f>
        <v>810013</v>
      </c>
      <c r="D212" s="34" t="n">
        <f aca="false">ROUND($G$211*$B$10,0)</f>
        <v>657039</v>
      </c>
      <c r="E212" s="34" t="n">
        <f aca="false">IF($A212="",0,$C212+$D212)</f>
        <v>1467052</v>
      </c>
      <c r="F212" s="35"/>
      <c r="G212" s="34" t="n">
        <f aca="false">MAX(0,$G$211-$C212-$F212)</f>
        <v>186915512</v>
      </c>
      <c r="H212" s="32" t="str">
        <f aca="false">IF($B212="","",TEXT($B212,"yyyy-mm"))</f>
        <v>2042-07</v>
      </c>
      <c r="I212" s="36" t="n">
        <f aca="false">IF($B$7="원리금균등",MAX(0,MIN($K$211,ROUND($B$11,0)-$J212)),IF($B$7="원금균등",MIN($K$211,ROUND($B$4/$B$6,0)),IF(191=$B$6,$K$211,0)))</f>
        <v>810013</v>
      </c>
      <c r="J212" s="36" t="n">
        <f aca="false">ROUND($K$211*$B$10,0)</f>
        <v>657039</v>
      </c>
      <c r="K212" s="36" t="n">
        <f aca="false">MAX(0,$K$211-$I212)</f>
        <v>186915512</v>
      </c>
    </row>
    <row r="213" customFormat="false" ht="15" hidden="false" customHeight="false" outlineLevel="0" collapsed="false">
      <c r="A213" s="32" t="n">
        <f aca="false">IF(192&gt;$B$6,"",192)</f>
        <v>192</v>
      </c>
      <c r="B213" s="33" t="n">
        <f aca="false">IF($A213="","",EDATE($B$8,192-1))</f>
        <v>52079</v>
      </c>
      <c r="C213" s="34" t="n">
        <f aca="false">IF($B$7="원리금균등",MAX(0,MIN($G$212,ROUND($B$11,0)-$D213)),IF($B$7="원금균등",MIN($G$212,ROUND($B$4/$B$6,0)),IF(192=$B$6,$G$212,0)))</f>
        <v>812848</v>
      </c>
      <c r="D213" s="34" t="n">
        <f aca="false">ROUND($G$212*$B$10,0)</f>
        <v>654204</v>
      </c>
      <c r="E213" s="34" t="n">
        <f aca="false">IF($A213="",0,$C213+$D213)</f>
        <v>1467052</v>
      </c>
      <c r="F213" s="35"/>
      <c r="G213" s="34" t="n">
        <f aca="false">MAX(0,$G$212-$C213-$F213)</f>
        <v>186102664</v>
      </c>
      <c r="H213" s="32" t="str">
        <f aca="false">IF($B213="","",TEXT($B213,"yyyy-mm"))</f>
        <v>2042-08</v>
      </c>
      <c r="I213" s="36" t="n">
        <f aca="false">IF($B$7="원리금균등",MAX(0,MIN($K$212,ROUND($B$11,0)-$J213)),IF($B$7="원금균등",MIN($K$212,ROUND($B$4/$B$6,0)),IF(192=$B$6,$K$212,0)))</f>
        <v>812848</v>
      </c>
      <c r="J213" s="36" t="n">
        <f aca="false">ROUND($K$212*$B$10,0)</f>
        <v>654204</v>
      </c>
      <c r="K213" s="36" t="n">
        <f aca="false">MAX(0,$K$212-$I213)</f>
        <v>186102664</v>
      </c>
    </row>
    <row r="214" customFormat="false" ht="15" hidden="false" customHeight="false" outlineLevel="0" collapsed="false">
      <c r="A214" s="32" t="n">
        <f aca="false">IF(193&gt;$B$6,"",193)</f>
        <v>193</v>
      </c>
      <c r="B214" s="33" t="n">
        <f aca="false">IF($A214="","",EDATE($B$8,193-1))</f>
        <v>52110</v>
      </c>
      <c r="C214" s="34" t="n">
        <f aca="false">IF($B$7="원리금균등",MAX(0,MIN($G$213,ROUND($B$11,0)-$D214)),IF($B$7="원금균등",MIN($G$213,ROUND($B$4/$B$6,0)),IF(193=$B$6,$G$213,0)))</f>
        <v>815693</v>
      </c>
      <c r="D214" s="34" t="n">
        <f aca="false">ROUND($G$213*$B$10,0)</f>
        <v>651359</v>
      </c>
      <c r="E214" s="34" t="n">
        <f aca="false">IF($A214="",0,$C214+$D214)</f>
        <v>1467052</v>
      </c>
      <c r="F214" s="35"/>
      <c r="G214" s="34" t="n">
        <f aca="false">MAX(0,$G$213-$C214-$F214)</f>
        <v>185286971</v>
      </c>
      <c r="H214" s="32" t="str">
        <f aca="false">IF($B214="","",TEXT($B214,"yyyy-mm"))</f>
        <v>2042-09</v>
      </c>
      <c r="I214" s="36" t="n">
        <f aca="false">IF($B$7="원리금균등",MAX(0,MIN($K$213,ROUND($B$11,0)-$J214)),IF($B$7="원금균등",MIN($K$213,ROUND($B$4/$B$6,0)),IF(193=$B$6,$K$213,0)))</f>
        <v>815693</v>
      </c>
      <c r="J214" s="36" t="n">
        <f aca="false">ROUND($K$213*$B$10,0)</f>
        <v>651359</v>
      </c>
      <c r="K214" s="36" t="n">
        <f aca="false">MAX(0,$K$213-$I214)</f>
        <v>185286971</v>
      </c>
    </row>
    <row r="215" customFormat="false" ht="15" hidden="false" customHeight="false" outlineLevel="0" collapsed="false">
      <c r="A215" s="32" t="n">
        <f aca="false">IF(194&gt;$B$6,"",194)</f>
        <v>194</v>
      </c>
      <c r="B215" s="33" t="n">
        <f aca="false">IF($A215="","",EDATE($B$8,194-1))</f>
        <v>52140</v>
      </c>
      <c r="C215" s="34" t="n">
        <f aca="false">IF($B$7="원리금균등",MAX(0,MIN($G$214,ROUND($B$11,0)-$D215)),IF($B$7="원금균등",MIN($G$214,ROUND($B$4/$B$6,0)),IF(194=$B$6,$G$214,0)))</f>
        <v>818548</v>
      </c>
      <c r="D215" s="34" t="n">
        <f aca="false">ROUND($G$214*$B$10,0)</f>
        <v>648504</v>
      </c>
      <c r="E215" s="34" t="n">
        <f aca="false">IF($A215="",0,$C215+$D215)</f>
        <v>1467052</v>
      </c>
      <c r="F215" s="35"/>
      <c r="G215" s="34" t="n">
        <f aca="false">MAX(0,$G$214-$C215-$F215)</f>
        <v>184468423</v>
      </c>
      <c r="H215" s="32" t="str">
        <f aca="false">IF($B215="","",TEXT($B215,"yyyy-mm"))</f>
        <v>2042-10</v>
      </c>
      <c r="I215" s="36" t="n">
        <f aca="false">IF($B$7="원리금균등",MAX(0,MIN($K$214,ROUND($B$11,0)-$J215)),IF($B$7="원금균등",MIN($K$214,ROUND($B$4/$B$6,0)),IF(194=$B$6,$K$214,0)))</f>
        <v>818548</v>
      </c>
      <c r="J215" s="36" t="n">
        <f aca="false">ROUND($K$214*$B$10,0)</f>
        <v>648504</v>
      </c>
      <c r="K215" s="36" t="n">
        <f aca="false">MAX(0,$K$214-$I215)</f>
        <v>184468423</v>
      </c>
    </row>
    <row r="216" customFormat="false" ht="15" hidden="false" customHeight="false" outlineLevel="0" collapsed="false">
      <c r="A216" s="32" t="n">
        <f aca="false">IF(195&gt;$B$6,"",195)</f>
        <v>195</v>
      </c>
      <c r="B216" s="33" t="n">
        <f aca="false">IF($A216="","",EDATE($B$8,195-1))</f>
        <v>52171</v>
      </c>
      <c r="C216" s="34" t="n">
        <f aca="false">IF($B$7="원리금균등",MAX(0,MIN($G$215,ROUND($B$11,0)-$D216)),IF($B$7="원금균등",MIN($G$215,ROUND($B$4/$B$6,0)),IF(195=$B$6,$G$215,0)))</f>
        <v>821413</v>
      </c>
      <c r="D216" s="34" t="n">
        <f aca="false">ROUND($G$215*$B$10,0)</f>
        <v>645639</v>
      </c>
      <c r="E216" s="34" t="n">
        <f aca="false">IF($A216="",0,$C216+$D216)</f>
        <v>1467052</v>
      </c>
      <c r="F216" s="35"/>
      <c r="G216" s="34" t="n">
        <f aca="false">MAX(0,$G$215-$C216-$F216)</f>
        <v>183647010</v>
      </c>
      <c r="H216" s="32" t="str">
        <f aca="false">IF($B216="","",TEXT($B216,"yyyy-mm"))</f>
        <v>2042-11</v>
      </c>
      <c r="I216" s="36" t="n">
        <f aca="false">IF($B$7="원리금균등",MAX(0,MIN($K$215,ROUND($B$11,0)-$J216)),IF($B$7="원금균등",MIN($K$215,ROUND($B$4/$B$6,0)),IF(195=$B$6,$K$215,0)))</f>
        <v>821413</v>
      </c>
      <c r="J216" s="36" t="n">
        <f aca="false">ROUND($K$215*$B$10,0)</f>
        <v>645639</v>
      </c>
      <c r="K216" s="36" t="n">
        <f aca="false">MAX(0,$K$215-$I216)</f>
        <v>183647010</v>
      </c>
    </row>
    <row r="217" customFormat="false" ht="15" hidden="false" customHeight="false" outlineLevel="0" collapsed="false">
      <c r="A217" s="32" t="n">
        <f aca="false">IF(196&gt;$B$6,"",196)</f>
        <v>196</v>
      </c>
      <c r="B217" s="33" t="n">
        <f aca="false">IF($A217="","",EDATE($B$8,196-1))</f>
        <v>52201</v>
      </c>
      <c r="C217" s="34" t="n">
        <f aca="false">IF($B$7="원리금균등",MAX(0,MIN($G$216,ROUND($B$11,0)-$D217)),IF($B$7="원금균등",MIN($G$216,ROUND($B$4/$B$6,0)),IF(196=$B$6,$G$216,0)))</f>
        <v>824287</v>
      </c>
      <c r="D217" s="34" t="n">
        <f aca="false">ROUND($G$216*$B$10,0)</f>
        <v>642765</v>
      </c>
      <c r="E217" s="34" t="n">
        <f aca="false">IF($A217="",0,$C217+$D217)</f>
        <v>1467052</v>
      </c>
      <c r="F217" s="35"/>
      <c r="G217" s="34" t="n">
        <f aca="false">MAX(0,$G$216-$C217-$F217)</f>
        <v>182822723</v>
      </c>
      <c r="H217" s="32" t="str">
        <f aca="false">IF($B217="","",TEXT($B217,"yyyy-mm"))</f>
        <v>2042-12</v>
      </c>
      <c r="I217" s="36" t="n">
        <f aca="false">IF($B$7="원리금균등",MAX(0,MIN($K$216,ROUND($B$11,0)-$J217)),IF($B$7="원금균등",MIN($K$216,ROUND($B$4/$B$6,0)),IF(196=$B$6,$K$216,0)))</f>
        <v>824287</v>
      </c>
      <c r="J217" s="36" t="n">
        <f aca="false">ROUND($K$216*$B$10,0)</f>
        <v>642765</v>
      </c>
      <c r="K217" s="36" t="n">
        <f aca="false">MAX(0,$K$216-$I217)</f>
        <v>182822723</v>
      </c>
    </row>
    <row r="218" customFormat="false" ht="15" hidden="false" customHeight="false" outlineLevel="0" collapsed="false">
      <c r="A218" s="32" t="n">
        <f aca="false">IF(197&gt;$B$6,"",197)</f>
        <v>197</v>
      </c>
      <c r="B218" s="33" t="n">
        <f aca="false">IF($A218="","",EDATE($B$8,197-1))</f>
        <v>52232</v>
      </c>
      <c r="C218" s="34" t="n">
        <f aca="false">IF($B$7="원리금균등",MAX(0,MIN($G$217,ROUND($B$11,0)-$D218)),IF($B$7="원금균등",MIN($G$217,ROUND($B$4/$B$6,0)),IF(197=$B$6,$G$217,0)))</f>
        <v>827172</v>
      </c>
      <c r="D218" s="34" t="n">
        <f aca="false">ROUND($G$217*$B$10,0)</f>
        <v>639880</v>
      </c>
      <c r="E218" s="34" t="n">
        <f aca="false">IF($A218="",0,$C218+$D218)</f>
        <v>1467052</v>
      </c>
      <c r="F218" s="35"/>
      <c r="G218" s="34" t="n">
        <f aca="false">MAX(0,$G$217-$C218-$F218)</f>
        <v>181995551</v>
      </c>
      <c r="H218" s="32" t="str">
        <f aca="false">IF($B218="","",TEXT($B218,"yyyy-mm"))</f>
        <v>2043-01</v>
      </c>
      <c r="I218" s="36" t="n">
        <f aca="false">IF($B$7="원리금균등",MAX(0,MIN($K$217,ROUND($B$11,0)-$J218)),IF($B$7="원금균등",MIN($K$217,ROUND($B$4/$B$6,0)),IF(197=$B$6,$K$217,0)))</f>
        <v>827172</v>
      </c>
      <c r="J218" s="36" t="n">
        <f aca="false">ROUND($K$217*$B$10,0)</f>
        <v>639880</v>
      </c>
      <c r="K218" s="36" t="n">
        <f aca="false">MAX(0,$K$217-$I218)</f>
        <v>181995551</v>
      </c>
    </row>
    <row r="219" customFormat="false" ht="15" hidden="false" customHeight="false" outlineLevel="0" collapsed="false">
      <c r="A219" s="32" t="n">
        <f aca="false">IF(198&gt;$B$6,"",198)</f>
        <v>198</v>
      </c>
      <c r="B219" s="33" t="n">
        <f aca="false">IF($A219="","",EDATE($B$8,198-1))</f>
        <v>52263</v>
      </c>
      <c r="C219" s="34" t="n">
        <f aca="false">IF($B$7="원리금균등",MAX(0,MIN($G$218,ROUND($B$11,0)-$D219)),IF($B$7="원금균등",MIN($G$218,ROUND($B$4/$B$6,0)),IF(198=$B$6,$G$218,0)))</f>
        <v>830068</v>
      </c>
      <c r="D219" s="34" t="n">
        <f aca="false">ROUND($G$218*$B$10,0)</f>
        <v>636984</v>
      </c>
      <c r="E219" s="34" t="n">
        <f aca="false">IF($A219="",0,$C219+$D219)</f>
        <v>1467052</v>
      </c>
      <c r="F219" s="35"/>
      <c r="G219" s="34" t="n">
        <f aca="false">MAX(0,$G$218-$C219-$F219)</f>
        <v>181165483</v>
      </c>
      <c r="H219" s="32" t="str">
        <f aca="false">IF($B219="","",TEXT($B219,"yyyy-mm"))</f>
        <v>2043-02</v>
      </c>
      <c r="I219" s="36" t="n">
        <f aca="false">IF($B$7="원리금균등",MAX(0,MIN($K$218,ROUND($B$11,0)-$J219)),IF($B$7="원금균등",MIN($K$218,ROUND($B$4/$B$6,0)),IF(198=$B$6,$K$218,0)))</f>
        <v>830068</v>
      </c>
      <c r="J219" s="36" t="n">
        <f aca="false">ROUND($K$218*$B$10,0)</f>
        <v>636984</v>
      </c>
      <c r="K219" s="36" t="n">
        <f aca="false">MAX(0,$K$218-$I219)</f>
        <v>181165483</v>
      </c>
    </row>
    <row r="220" customFormat="false" ht="15" hidden="false" customHeight="false" outlineLevel="0" collapsed="false">
      <c r="A220" s="32" t="n">
        <f aca="false">IF(199&gt;$B$6,"",199)</f>
        <v>199</v>
      </c>
      <c r="B220" s="33" t="n">
        <f aca="false">IF($A220="","",EDATE($B$8,199-1))</f>
        <v>52291</v>
      </c>
      <c r="C220" s="34" t="n">
        <f aca="false">IF($B$7="원리금균등",MAX(0,MIN($G$219,ROUND($B$11,0)-$D220)),IF($B$7="원금균등",MIN($G$219,ROUND($B$4/$B$6,0)),IF(199=$B$6,$G$219,0)))</f>
        <v>832973</v>
      </c>
      <c r="D220" s="34" t="n">
        <f aca="false">ROUND($G$219*$B$10,0)</f>
        <v>634079</v>
      </c>
      <c r="E220" s="34" t="n">
        <f aca="false">IF($A220="",0,$C220+$D220)</f>
        <v>1467052</v>
      </c>
      <c r="F220" s="35"/>
      <c r="G220" s="34" t="n">
        <f aca="false">MAX(0,$G$219-$C220-$F220)</f>
        <v>180332510</v>
      </c>
      <c r="H220" s="32" t="str">
        <f aca="false">IF($B220="","",TEXT($B220,"yyyy-mm"))</f>
        <v>2043-03</v>
      </c>
      <c r="I220" s="36" t="n">
        <f aca="false">IF($B$7="원리금균등",MAX(0,MIN($K$219,ROUND($B$11,0)-$J220)),IF($B$7="원금균등",MIN($K$219,ROUND($B$4/$B$6,0)),IF(199=$B$6,$K$219,0)))</f>
        <v>832973</v>
      </c>
      <c r="J220" s="36" t="n">
        <f aca="false">ROUND($K$219*$B$10,0)</f>
        <v>634079</v>
      </c>
      <c r="K220" s="36" t="n">
        <f aca="false">MAX(0,$K$219-$I220)</f>
        <v>180332510</v>
      </c>
    </row>
    <row r="221" customFormat="false" ht="15" hidden="false" customHeight="false" outlineLevel="0" collapsed="false">
      <c r="A221" s="32" t="n">
        <f aca="false">IF(200&gt;$B$6,"",200)</f>
        <v>200</v>
      </c>
      <c r="B221" s="33" t="n">
        <f aca="false">IF($A221="","",EDATE($B$8,200-1))</f>
        <v>52322</v>
      </c>
      <c r="C221" s="34" t="n">
        <f aca="false">IF($B$7="원리금균등",MAX(0,MIN($G$220,ROUND($B$11,0)-$D221)),IF($B$7="원금균등",MIN($G$220,ROUND($B$4/$B$6,0)),IF(200=$B$6,$G$220,0)))</f>
        <v>835888</v>
      </c>
      <c r="D221" s="34" t="n">
        <f aca="false">ROUND($G$220*$B$10,0)</f>
        <v>631164</v>
      </c>
      <c r="E221" s="34" t="n">
        <f aca="false">IF($A221="",0,$C221+$D221)</f>
        <v>1467052</v>
      </c>
      <c r="F221" s="35"/>
      <c r="G221" s="34" t="n">
        <f aca="false">MAX(0,$G$220-$C221-$F221)</f>
        <v>179496622</v>
      </c>
      <c r="H221" s="32" t="str">
        <f aca="false">IF($B221="","",TEXT($B221,"yyyy-mm"))</f>
        <v>2043-04</v>
      </c>
      <c r="I221" s="36" t="n">
        <f aca="false">IF($B$7="원리금균등",MAX(0,MIN($K$220,ROUND($B$11,0)-$J221)),IF($B$7="원금균등",MIN($K$220,ROUND($B$4/$B$6,0)),IF(200=$B$6,$K$220,0)))</f>
        <v>835888</v>
      </c>
      <c r="J221" s="36" t="n">
        <f aca="false">ROUND($K$220*$B$10,0)</f>
        <v>631164</v>
      </c>
      <c r="K221" s="36" t="n">
        <f aca="false">MAX(0,$K$220-$I221)</f>
        <v>179496622</v>
      </c>
    </row>
    <row r="222" customFormat="false" ht="15" hidden="false" customHeight="false" outlineLevel="0" collapsed="false">
      <c r="A222" s="32" t="n">
        <f aca="false">IF(201&gt;$B$6,"",201)</f>
        <v>201</v>
      </c>
      <c r="B222" s="33" t="n">
        <f aca="false">IF($A222="","",EDATE($B$8,201-1))</f>
        <v>52352</v>
      </c>
      <c r="C222" s="34" t="n">
        <f aca="false">IF($B$7="원리금균등",MAX(0,MIN($G$221,ROUND($B$11,0)-$D222)),IF($B$7="원금균등",MIN($G$221,ROUND($B$4/$B$6,0)),IF(201=$B$6,$G$221,0)))</f>
        <v>838814</v>
      </c>
      <c r="D222" s="34" t="n">
        <f aca="false">ROUND($G$221*$B$10,0)</f>
        <v>628238</v>
      </c>
      <c r="E222" s="34" t="n">
        <f aca="false">IF($A222="",0,$C222+$D222)</f>
        <v>1467052</v>
      </c>
      <c r="F222" s="35"/>
      <c r="G222" s="34" t="n">
        <f aca="false">MAX(0,$G$221-$C222-$F222)</f>
        <v>178657808</v>
      </c>
      <c r="H222" s="32" t="str">
        <f aca="false">IF($B222="","",TEXT($B222,"yyyy-mm"))</f>
        <v>2043-05</v>
      </c>
      <c r="I222" s="36" t="n">
        <f aca="false">IF($B$7="원리금균등",MAX(0,MIN($K$221,ROUND($B$11,0)-$J222)),IF($B$7="원금균등",MIN($K$221,ROUND($B$4/$B$6,0)),IF(201=$B$6,$K$221,0)))</f>
        <v>838814</v>
      </c>
      <c r="J222" s="36" t="n">
        <f aca="false">ROUND($K$221*$B$10,0)</f>
        <v>628238</v>
      </c>
      <c r="K222" s="36" t="n">
        <f aca="false">MAX(0,$K$221-$I222)</f>
        <v>178657808</v>
      </c>
    </row>
    <row r="223" customFormat="false" ht="15" hidden="false" customHeight="false" outlineLevel="0" collapsed="false">
      <c r="A223" s="32" t="n">
        <f aca="false">IF(202&gt;$B$6,"",202)</f>
        <v>202</v>
      </c>
      <c r="B223" s="33" t="n">
        <f aca="false">IF($A223="","",EDATE($B$8,202-1))</f>
        <v>52383</v>
      </c>
      <c r="C223" s="34" t="n">
        <f aca="false">IF($B$7="원리금균등",MAX(0,MIN($G$222,ROUND($B$11,0)-$D223)),IF($B$7="원금균등",MIN($G$222,ROUND($B$4/$B$6,0)),IF(202=$B$6,$G$222,0)))</f>
        <v>841750</v>
      </c>
      <c r="D223" s="34" t="n">
        <f aca="false">ROUND($G$222*$B$10,0)</f>
        <v>625302</v>
      </c>
      <c r="E223" s="34" t="n">
        <f aca="false">IF($A223="",0,$C223+$D223)</f>
        <v>1467052</v>
      </c>
      <c r="F223" s="35"/>
      <c r="G223" s="34" t="n">
        <f aca="false">MAX(0,$G$222-$C223-$F223)</f>
        <v>177816058</v>
      </c>
      <c r="H223" s="32" t="str">
        <f aca="false">IF($B223="","",TEXT($B223,"yyyy-mm"))</f>
        <v>2043-06</v>
      </c>
      <c r="I223" s="36" t="n">
        <f aca="false">IF($B$7="원리금균등",MAX(0,MIN($K$222,ROUND($B$11,0)-$J223)),IF($B$7="원금균등",MIN($K$222,ROUND($B$4/$B$6,0)),IF(202=$B$6,$K$222,0)))</f>
        <v>841750</v>
      </c>
      <c r="J223" s="36" t="n">
        <f aca="false">ROUND($K$222*$B$10,0)</f>
        <v>625302</v>
      </c>
      <c r="K223" s="36" t="n">
        <f aca="false">MAX(0,$K$222-$I223)</f>
        <v>177816058</v>
      </c>
    </row>
    <row r="224" customFormat="false" ht="15" hidden="false" customHeight="false" outlineLevel="0" collapsed="false">
      <c r="A224" s="32" t="n">
        <f aca="false">IF(203&gt;$B$6,"",203)</f>
        <v>203</v>
      </c>
      <c r="B224" s="33" t="n">
        <f aca="false">IF($A224="","",EDATE($B$8,203-1))</f>
        <v>52413</v>
      </c>
      <c r="C224" s="34" t="n">
        <f aca="false">IF($B$7="원리금균등",MAX(0,MIN($G$223,ROUND($B$11,0)-$D224)),IF($B$7="원금균등",MIN($G$223,ROUND($B$4/$B$6,0)),IF(203=$B$6,$G$223,0)))</f>
        <v>844696</v>
      </c>
      <c r="D224" s="34" t="n">
        <f aca="false">ROUND($G$223*$B$10,0)</f>
        <v>622356</v>
      </c>
      <c r="E224" s="34" t="n">
        <f aca="false">IF($A224="",0,$C224+$D224)</f>
        <v>1467052</v>
      </c>
      <c r="F224" s="35"/>
      <c r="G224" s="34" t="n">
        <f aca="false">MAX(0,$G$223-$C224-$F224)</f>
        <v>176971362</v>
      </c>
      <c r="H224" s="32" t="str">
        <f aca="false">IF($B224="","",TEXT($B224,"yyyy-mm"))</f>
        <v>2043-07</v>
      </c>
      <c r="I224" s="36" t="n">
        <f aca="false">IF($B$7="원리금균등",MAX(0,MIN($K$223,ROUND($B$11,0)-$J224)),IF($B$7="원금균등",MIN($K$223,ROUND($B$4/$B$6,0)),IF(203=$B$6,$K$223,0)))</f>
        <v>844696</v>
      </c>
      <c r="J224" s="36" t="n">
        <f aca="false">ROUND($K$223*$B$10,0)</f>
        <v>622356</v>
      </c>
      <c r="K224" s="36" t="n">
        <f aca="false">MAX(0,$K$223-$I224)</f>
        <v>176971362</v>
      </c>
    </row>
    <row r="225" customFormat="false" ht="15" hidden="false" customHeight="false" outlineLevel="0" collapsed="false">
      <c r="A225" s="32" t="n">
        <f aca="false">IF(204&gt;$B$6,"",204)</f>
        <v>204</v>
      </c>
      <c r="B225" s="33" t="n">
        <f aca="false">IF($A225="","",EDATE($B$8,204-1))</f>
        <v>52444</v>
      </c>
      <c r="C225" s="34" t="n">
        <f aca="false">IF($B$7="원리금균등",MAX(0,MIN($G$224,ROUND($B$11,0)-$D225)),IF($B$7="원금균등",MIN($G$224,ROUND($B$4/$B$6,0)),IF(204=$B$6,$G$224,0)))</f>
        <v>847652</v>
      </c>
      <c r="D225" s="34" t="n">
        <f aca="false">ROUND($G$224*$B$10,0)</f>
        <v>619400</v>
      </c>
      <c r="E225" s="34" t="n">
        <f aca="false">IF($A225="",0,$C225+$D225)</f>
        <v>1467052</v>
      </c>
      <c r="F225" s="35"/>
      <c r="G225" s="34" t="n">
        <f aca="false">MAX(0,$G$224-$C225-$F225)</f>
        <v>176123710</v>
      </c>
      <c r="H225" s="32" t="str">
        <f aca="false">IF($B225="","",TEXT($B225,"yyyy-mm"))</f>
        <v>2043-08</v>
      </c>
      <c r="I225" s="36" t="n">
        <f aca="false">IF($B$7="원리금균등",MAX(0,MIN($K$224,ROUND($B$11,0)-$J225)),IF($B$7="원금균등",MIN($K$224,ROUND($B$4/$B$6,0)),IF(204=$B$6,$K$224,0)))</f>
        <v>847652</v>
      </c>
      <c r="J225" s="36" t="n">
        <f aca="false">ROUND($K$224*$B$10,0)</f>
        <v>619400</v>
      </c>
      <c r="K225" s="36" t="n">
        <f aca="false">MAX(0,$K$224-$I225)</f>
        <v>176123710</v>
      </c>
    </row>
    <row r="226" customFormat="false" ht="15" hidden="false" customHeight="false" outlineLevel="0" collapsed="false">
      <c r="A226" s="32" t="n">
        <f aca="false">IF(205&gt;$B$6,"",205)</f>
        <v>205</v>
      </c>
      <c r="B226" s="33" t="n">
        <f aca="false">IF($A226="","",EDATE($B$8,205-1))</f>
        <v>52475</v>
      </c>
      <c r="C226" s="34" t="n">
        <f aca="false">IF($B$7="원리금균등",MAX(0,MIN($G$225,ROUND($B$11,0)-$D226)),IF($B$7="원금균등",MIN($G$225,ROUND($B$4/$B$6,0)),IF(205=$B$6,$G$225,0)))</f>
        <v>850619</v>
      </c>
      <c r="D226" s="34" t="n">
        <f aca="false">ROUND($G$225*$B$10,0)</f>
        <v>616433</v>
      </c>
      <c r="E226" s="34" t="n">
        <f aca="false">IF($A226="",0,$C226+$D226)</f>
        <v>1467052</v>
      </c>
      <c r="F226" s="35"/>
      <c r="G226" s="34" t="n">
        <f aca="false">MAX(0,$G$225-$C226-$F226)</f>
        <v>175273091</v>
      </c>
      <c r="H226" s="32" t="str">
        <f aca="false">IF($B226="","",TEXT($B226,"yyyy-mm"))</f>
        <v>2043-09</v>
      </c>
      <c r="I226" s="36" t="n">
        <f aca="false">IF($B$7="원리금균등",MAX(0,MIN($K$225,ROUND($B$11,0)-$J226)),IF($B$7="원금균등",MIN($K$225,ROUND($B$4/$B$6,0)),IF(205=$B$6,$K$225,0)))</f>
        <v>850619</v>
      </c>
      <c r="J226" s="36" t="n">
        <f aca="false">ROUND($K$225*$B$10,0)</f>
        <v>616433</v>
      </c>
      <c r="K226" s="36" t="n">
        <f aca="false">MAX(0,$K$225-$I226)</f>
        <v>175273091</v>
      </c>
    </row>
    <row r="227" customFormat="false" ht="15" hidden="false" customHeight="false" outlineLevel="0" collapsed="false">
      <c r="A227" s="32" t="n">
        <f aca="false">IF(206&gt;$B$6,"",206)</f>
        <v>206</v>
      </c>
      <c r="B227" s="33" t="n">
        <f aca="false">IF($A227="","",EDATE($B$8,206-1))</f>
        <v>52505</v>
      </c>
      <c r="C227" s="34" t="n">
        <f aca="false">IF($B$7="원리금균등",MAX(0,MIN($G$226,ROUND($B$11,0)-$D227)),IF($B$7="원금균등",MIN($G$226,ROUND($B$4/$B$6,0)),IF(206=$B$6,$G$226,0)))</f>
        <v>853596</v>
      </c>
      <c r="D227" s="34" t="n">
        <f aca="false">ROUND($G$226*$B$10,0)</f>
        <v>613456</v>
      </c>
      <c r="E227" s="34" t="n">
        <f aca="false">IF($A227="",0,$C227+$D227)</f>
        <v>1467052</v>
      </c>
      <c r="F227" s="35"/>
      <c r="G227" s="34" t="n">
        <f aca="false">MAX(0,$G$226-$C227-$F227)</f>
        <v>174419495</v>
      </c>
      <c r="H227" s="32" t="str">
        <f aca="false">IF($B227="","",TEXT($B227,"yyyy-mm"))</f>
        <v>2043-10</v>
      </c>
      <c r="I227" s="36" t="n">
        <f aca="false">IF($B$7="원리금균등",MAX(0,MIN($K$226,ROUND($B$11,0)-$J227)),IF($B$7="원금균등",MIN($K$226,ROUND($B$4/$B$6,0)),IF(206=$B$6,$K$226,0)))</f>
        <v>853596</v>
      </c>
      <c r="J227" s="36" t="n">
        <f aca="false">ROUND($K$226*$B$10,0)</f>
        <v>613456</v>
      </c>
      <c r="K227" s="36" t="n">
        <f aca="false">MAX(0,$K$226-$I227)</f>
        <v>174419495</v>
      </c>
    </row>
    <row r="228" customFormat="false" ht="15" hidden="false" customHeight="false" outlineLevel="0" collapsed="false">
      <c r="A228" s="32" t="n">
        <f aca="false">IF(207&gt;$B$6,"",207)</f>
        <v>207</v>
      </c>
      <c r="B228" s="33" t="n">
        <f aca="false">IF($A228="","",EDATE($B$8,207-1))</f>
        <v>52536</v>
      </c>
      <c r="C228" s="34" t="n">
        <f aca="false">IF($B$7="원리금균등",MAX(0,MIN($G$227,ROUND($B$11,0)-$D228)),IF($B$7="원금균등",MIN($G$227,ROUND($B$4/$B$6,0)),IF(207=$B$6,$G$227,0)))</f>
        <v>856584</v>
      </c>
      <c r="D228" s="34" t="n">
        <f aca="false">ROUND($G$227*$B$10,0)</f>
        <v>610468</v>
      </c>
      <c r="E228" s="34" t="n">
        <f aca="false">IF($A228="",0,$C228+$D228)</f>
        <v>1467052</v>
      </c>
      <c r="F228" s="35"/>
      <c r="G228" s="34" t="n">
        <f aca="false">MAX(0,$G$227-$C228-$F228)</f>
        <v>173562911</v>
      </c>
      <c r="H228" s="32" t="str">
        <f aca="false">IF($B228="","",TEXT($B228,"yyyy-mm"))</f>
        <v>2043-11</v>
      </c>
      <c r="I228" s="36" t="n">
        <f aca="false">IF($B$7="원리금균등",MAX(0,MIN($K$227,ROUND($B$11,0)-$J228)),IF($B$7="원금균등",MIN($K$227,ROUND($B$4/$B$6,0)),IF(207=$B$6,$K$227,0)))</f>
        <v>856584</v>
      </c>
      <c r="J228" s="36" t="n">
        <f aca="false">ROUND($K$227*$B$10,0)</f>
        <v>610468</v>
      </c>
      <c r="K228" s="36" t="n">
        <f aca="false">MAX(0,$K$227-$I228)</f>
        <v>173562911</v>
      </c>
    </row>
    <row r="229" customFormat="false" ht="15" hidden="false" customHeight="false" outlineLevel="0" collapsed="false">
      <c r="A229" s="32" t="n">
        <f aca="false">IF(208&gt;$B$6,"",208)</f>
        <v>208</v>
      </c>
      <c r="B229" s="33" t="n">
        <f aca="false">IF($A229="","",EDATE($B$8,208-1))</f>
        <v>52566</v>
      </c>
      <c r="C229" s="34" t="n">
        <f aca="false">IF($B$7="원리금균등",MAX(0,MIN($G$228,ROUND($B$11,0)-$D229)),IF($B$7="원금균등",MIN($G$228,ROUND($B$4/$B$6,0)),IF(208=$B$6,$G$228,0)))</f>
        <v>859582</v>
      </c>
      <c r="D229" s="34" t="n">
        <f aca="false">ROUND($G$228*$B$10,0)</f>
        <v>607470</v>
      </c>
      <c r="E229" s="34" t="n">
        <f aca="false">IF($A229="",0,$C229+$D229)</f>
        <v>1467052</v>
      </c>
      <c r="F229" s="35"/>
      <c r="G229" s="34" t="n">
        <f aca="false">MAX(0,$G$228-$C229-$F229)</f>
        <v>172703329</v>
      </c>
      <c r="H229" s="32" t="str">
        <f aca="false">IF($B229="","",TEXT($B229,"yyyy-mm"))</f>
        <v>2043-12</v>
      </c>
      <c r="I229" s="36" t="n">
        <f aca="false">IF($B$7="원리금균등",MAX(0,MIN($K$228,ROUND($B$11,0)-$J229)),IF($B$7="원금균등",MIN($K$228,ROUND($B$4/$B$6,0)),IF(208=$B$6,$K$228,0)))</f>
        <v>859582</v>
      </c>
      <c r="J229" s="36" t="n">
        <f aca="false">ROUND($K$228*$B$10,0)</f>
        <v>607470</v>
      </c>
      <c r="K229" s="36" t="n">
        <f aca="false">MAX(0,$K$228-$I229)</f>
        <v>172703329</v>
      </c>
    </row>
    <row r="230" customFormat="false" ht="15" hidden="false" customHeight="false" outlineLevel="0" collapsed="false">
      <c r="A230" s="32" t="n">
        <f aca="false">IF(209&gt;$B$6,"",209)</f>
        <v>209</v>
      </c>
      <c r="B230" s="33" t="n">
        <f aca="false">IF($A230="","",EDATE($B$8,209-1))</f>
        <v>52597</v>
      </c>
      <c r="C230" s="34" t="n">
        <f aca="false">IF($B$7="원리금균등",MAX(0,MIN($G$229,ROUND($B$11,0)-$D230)),IF($B$7="원금균등",MIN($G$229,ROUND($B$4/$B$6,0)),IF(209=$B$6,$G$229,0)))</f>
        <v>862590</v>
      </c>
      <c r="D230" s="34" t="n">
        <f aca="false">ROUND($G$229*$B$10,0)</f>
        <v>604462</v>
      </c>
      <c r="E230" s="34" t="n">
        <f aca="false">IF($A230="",0,$C230+$D230)</f>
        <v>1467052</v>
      </c>
      <c r="F230" s="35"/>
      <c r="G230" s="34" t="n">
        <f aca="false">MAX(0,$G$229-$C230-$F230)</f>
        <v>171840739</v>
      </c>
      <c r="H230" s="32" t="str">
        <f aca="false">IF($B230="","",TEXT($B230,"yyyy-mm"))</f>
        <v>2044-01</v>
      </c>
      <c r="I230" s="36" t="n">
        <f aca="false">IF($B$7="원리금균등",MAX(0,MIN($K$229,ROUND($B$11,0)-$J230)),IF($B$7="원금균등",MIN($K$229,ROUND($B$4/$B$6,0)),IF(209=$B$6,$K$229,0)))</f>
        <v>862590</v>
      </c>
      <c r="J230" s="36" t="n">
        <f aca="false">ROUND($K$229*$B$10,0)</f>
        <v>604462</v>
      </c>
      <c r="K230" s="36" t="n">
        <f aca="false">MAX(0,$K$229-$I230)</f>
        <v>171840739</v>
      </c>
    </row>
    <row r="231" customFormat="false" ht="15" hidden="false" customHeight="false" outlineLevel="0" collapsed="false">
      <c r="A231" s="32" t="n">
        <f aca="false">IF(210&gt;$B$6,"",210)</f>
        <v>210</v>
      </c>
      <c r="B231" s="33" t="n">
        <f aca="false">IF($A231="","",EDATE($B$8,210-1))</f>
        <v>52628</v>
      </c>
      <c r="C231" s="34" t="n">
        <f aca="false">IF($B$7="원리금균등",MAX(0,MIN($G$230,ROUND($B$11,0)-$D231)),IF($B$7="원금균등",MIN($G$230,ROUND($B$4/$B$6,0)),IF(210=$B$6,$G$230,0)))</f>
        <v>865609</v>
      </c>
      <c r="D231" s="34" t="n">
        <f aca="false">ROUND($G$230*$B$10,0)</f>
        <v>601443</v>
      </c>
      <c r="E231" s="34" t="n">
        <f aca="false">IF($A231="",0,$C231+$D231)</f>
        <v>1467052</v>
      </c>
      <c r="F231" s="35"/>
      <c r="G231" s="34" t="n">
        <f aca="false">MAX(0,$G$230-$C231-$F231)</f>
        <v>170975130</v>
      </c>
      <c r="H231" s="32" t="str">
        <f aca="false">IF($B231="","",TEXT($B231,"yyyy-mm"))</f>
        <v>2044-02</v>
      </c>
      <c r="I231" s="36" t="n">
        <f aca="false">IF($B$7="원리금균등",MAX(0,MIN($K$230,ROUND($B$11,0)-$J231)),IF($B$7="원금균등",MIN($K$230,ROUND($B$4/$B$6,0)),IF(210=$B$6,$K$230,0)))</f>
        <v>865609</v>
      </c>
      <c r="J231" s="36" t="n">
        <f aca="false">ROUND($K$230*$B$10,0)</f>
        <v>601443</v>
      </c>
      <c r="K231" s="36" t="n">
        <f aca="false">MAX(0,$K$230-$I231)</f>
        <v>170975130</v>
      </c>
    </row>
    <row r="232" customFormat="false" ht="15" hidden="false" customHeight="false" outlineLevel="0" collapsed="false">
      <c r="A232" s="32" t="n">
        <f aca="false">IF(211&gt;$B$6,"",211)</f>
        <v>211</v>
      </c>
      <c r="B232" s="33" t="n">
        <f aca="false">IF($A232="","",EDATE($B$8,211-1))</f>
        <v>52657</v>
      </c>
      <c r="C232" s="34" t="n">
        <f aca="false">IF($B$7="원리금균등",MAX(0,MIN($G$231,ROUND($B$11,0)-$D232)),IF($B$7="원금균등",MIN($G$231,ROUND($B$4/$B$6,0)),IF(211=$B$6,$G$231,0)))</f>
        <v>868639</v>
      </c>
      <c r="D232" s="34" t="n">
        <f aca="false">ROUND($G$231*$B$10,0)</f>
        <v>598413</v>
      </c>
      <c r="E232" s="34" t="n">
        <f aca="false">IF($A232="",0,$C232+$D232)</f>
        <v>1467052</v>
      </c>
      <c r="F232" s="35"/>
      <c r="G232" s="34" t="n">
        <f aca="false">MAX(0,$G$231-$C232-$F232)</f>
        <v>170106491</v>
      </c>
      <c r="H232" s="32" t="str">
        <f aca="false">IF($B232="","",TEXT($B232,"yyyy-mm"))</f>
        <v>2044-03</v>
      </c>
      <c r="I232" s="36" t="n">
        <f aca="false">IF($B$7="원리금균등",MAX(0,MIN($K$231,ROUND($B$11,0)-$J232)),IF($B$7="원금균등",MIN($K$231,ROUND($B$4/$B$6,0)),IF(211=$B$6,$K$231,0)))</f>
        <v>868639</v>
      </c>
      <c r="J232" s="36" t="n">
        <f aca="false">ROUND($K$231*$B$10,0)</f>
        <v>598413</v>
      </c>
      <c r="K232" s="36" t="n">
        <f aca="false">MAX(0,$K$231-$I232)</f>
        <v>170106491</v>
      </c>
    </row>
    <row r="233" customFormat="false" ht="15" hidden="false" customHeight="false" outlineLevel="0" collapsed="false">
      <c r="A233" s="32" t="n">
        <f aca="false">IF(212&gt;$B$6,"",212)</f>
        <v>212</v>
      </c>
      <c r="B233" s="33" t="n">
        <f aca="false">IF($A233="","",EDATE($B$8,212-1))</f>
        <v>52688</v>
      </c>
      <c r="C233" s="34" t="n">
        <f aca="false">IF($B$7="원리금균등",MAX(0,MIN($G$232,ROUND($B$11,0)-$D233)),IF($B$7="원금균등",MIN($G$232,ROUND($B$4/$B$6,0)),IF(212=$B$6,$G$232,0)))</f>
        <v>871679</v>
      </c>
      <c r="D233" s="34" t="n">
        <f aca="false">ROUND($G$232*$B$10,0)</f>
        <v>595373</v>
      </c>
      <c r="E233" s="34" t="n">
        <f aca="false">IF($A233="",0,$C233+$D233)</f>
        <v>1467052</v>
      </c>
      <c r="F233" s="35"/>
      <c r="G233" s="34" t="n">
        <f aca="false">MAX(0,$G$232-$C233-$F233)</f>
        <v>169234812</v>
      </c>
      <c r="H233" s="32" t="str">
        <f aca="false">IF($B233="","",TEXT($B233,"yyyy-mm"))</f>
        <v>2044-04</v>
      </c>
      <c r="I233" s="36" t="n">
        <f aca="false">IF($B$7="원리금균등",MAX(0,MIN($K$232,ROUND($B$11,0)-$J233)),IF($B$7="원금균등",MIN($K$232,ROUND($B$4/$B$6,0)),IF(212=$B$6,$K$232,0)))</f>
        <v>871679</v>
      </c>
      <c r="J233" s="36" t="n">
        <f aca="false">ROUND($K$232*$B$10,0)</f>
        <v>595373</v>
      </c>
      <c r="K233" s="36" t="n">
        <f aca="false">MAX(0,$K$232-$I233)</f>
        <v>169234812</v>
      </c>
    </row>
    <row r="234" customFormat="false" ht="15" hidden="false" customHeight="false" outlineLevel="0" collapsed="false">
      <c r="A234" s="32" t="n">
        <f aca="false">IF(213&gt;$B$6,"",213)</f>
        <v>213</v>
      </c>
      <c r="B234" s="33" t="n">
        <f aca="false">IF($A234="","",EDATE($B$8,213-1))</f>
        <v>52718</v>
      </c>
      <c r="C234" s="34" t="n">
        <f aca="false">IF($B$7="원리금균등",MAX(0,MIN($G$233,ROUND($B$11,0)-$D234)),IF($B$7="원금균등",MIN($G$233,ROUND($B$4/$B$6,0)),IF(213=$B$6,$G$233,0)))</f>
        <v>874730</v>
      </c>
      <c r="D234" s="34" t="n">
        <f aca="false">ROUND($G$233*$B$10,0)</f>
        <v>592322</v>
      </c>
      <c r="E234" s="34" t="n">
        <f aca="false">IF($A234="",0,$C234+$D234)</f>
        <v>1467052</v>
      </c>
      <c r="F234" s="35"/>
      <c r="G234" s="34" t="n">
        <f aca="false">MAX(0,$G$233-$C234-$F234)</f>
        <v>168360082</v>
      </c>
      <c r="H234" s="32" t="str">
        <f aca="false">IF($B234="","",TEXT($B234,"yyyy-mm"))</f>
        <v>2044-05</v>
      </c>
      <c r="I234" s="36" t="n">
        <f aca="false">IF($B$7="원리금균등",MAX(0,MIN($K$233,ROUND($B$11,0)-$J234)),IF($B$7="원금균등",MIN($K$233,ROUND($B$4/$B$6,0)),IF(213=$B$6,$K$233,0)))</f>
        <v>874730</v>
      </c>
      <c r="J234" s="36" t="n">
        <f aca="false">ROUND($K$233*$B$10,0)</f>
        <v>592322</v>
      </c>
      <c r="K234" s="36" t="n">
        <f aca="false">MAX(0,$K$233-$I234)</f>
        <v>168360082</v>
      </c>
    </row>
    <row r="235" customFormat="false" ht="15" hidden="false" customHeight="false" outlineLevel="0" collapsed="false">
      <c r="A235" s="32" t="n">
        <f aca="false">IF(214&gt;$B$6,"",214)</f>
        <v>214</v>
      </c>
      <c r="B235" s="33" t="n">
        <f aca="false">IF($A235="","",EDATE($B$8,214-1))</f>
        <v>52749</v>
      </c>
      <c r="C235" s="34" t="n">
        <f aca="false">IF($B$7="원리금균등",MAX(0,MIN($G$234,ROUND($B$11,0)-$D235)),IF($B$7="원금균등",MIN($G$234,ROUND($B$4/$B$6,0)),IF(214=$B$6,$G$234,0)))</f>
        <v>877792</v>
      </c>
      <c r="D235" s="34" t="n">
        <f aca="false">ROUND($G$234*$B$10,0)</f>
        <v>589260</v>
      </c>
      <c r="E235" s="34" t="n">
        <f aca="false">IF($A235="",0,$C235+$D235)</f>
        <v>1467052</v>
      </c>
      <c r="F235" s="35"/>
      <c r="G235" s="34" t="n">
        <f aca="false">MAX(0,$G$234-$C235-$F235)</f>
        <v>167482290</v>
      </c>
      <c r="H235" s="32" t="str">
        <f aca="false">IF($B235="","",TEXT($B235,"yyyy-mm"))</f>
        <v>2044-06</v>
      </c>
      <c r="I235" s="36" t="n">
        <f aca="false">IF($B$7="원리금균등",MAX(0,MIN($K$234,ROUND($B$11,0)-$J235)),IF($B$7="원금균등",MIN($K$234,ROUND($B$4/$B$6,0)),IF(214=$B$6,$K$234,0)))</f>
        <v>877792</v>
      </c>
      <c r="J235" s="36" t="n">
        <f aca="false">ROUND($K$234*$B$10,0)</f>
        <v>589260</v>
      </c>
      <c r="K235" s="36" t="n">
        <f aca="false">MAX(0,$K$234-$I235)</f>
        <v>167482290</v>
      </c>
    </row>
    <row r="236" customFormat="false" ht="15" hidden="false" customHeight="false" outlineLevel="0" collapsed="false">
      <c r="A236" s="32" t="n">
        <f aca="false">IF(215&gt;$B$6,"",215)</f>
        <v>215</v>
      </c>
      <c r="B236" s="33" t="n">
        <f aca="false">IF($A236="","",EDATE($B$8,215-1))</f>
        <v>52779</v>
      </c>
      <c r="C236" s="34" t="n">
        <f aca="false">IF($B$7="원리금균등",MAX(0,MIN($G$235,ROUND($B$11,0)-$D236)),IF($B$7="원금균등",MIN($G$235,ROUND($B$4/$B$6,0)),IF(215=$B$6,$G$235,0)))</f>
        <v>880864</v>
      </c>
      <c r="D236" s="34" t="n">
        <f aca="false">ROUND($G$235*$B$10,0)</f>
        <v>586188</v>
      </c>
      <c r="E236" s="34" t="n">
        <f aca="false">IF($A236="",0,$C236+$D236)</f>
        <v>1467052</v>
      </c>
      <c r="F236" s="35"/>
      <c r="G236" s="34" t="n">
        <f aca="false">MAX(0,$G$235-$C236-$F236)</f>
        <v>166601426</v>
      </c>
      <c r="H236" s="32" t="str">
        <f aca="false">IF($B236="","",TEXT($B236,"yyyy-mm"))</f>
        <v>2044-07</v>
      </c>
      <c r="I236" s="36" t="n">
        <f aca="false">IF($B$7="원리금균등",MAX(0,MIN($K$235,ROUND($B$11,0)-$J236)),IF($B$7="원금균등",MIN($K$235,ROUND($B$4/$B$6,0)),IF(215=$B$6,$K$235,0)))</f>
        <v>880864</v>
      </c>
      <c r="J236" s="36" t="n">
        <f aca="false">ROUND($K$235*$B$10,0)</f>
        <v>586188</v>
      </c>
      <c r="K236" s="36" t="n">
        <f aca="false">MAX(0,$K$235-$I236)</f>
        <v>166601426</v>
      </c>
    </row>
    <row r="237" customFormat="false" ht="15" hidden="false" customHeight="false" outlineLevel="0" collapsed="false">
      <c r="A237" s="32" t="n">
        <f aca="false">IF(216&gt;$B$6,"",216)</f>
        <v>216</v>
      </c>
      <c r="B237" s="33" t="n">
        <f aca="false">IF($A237="","",EDATE($B$8,216-1))</f>
        <v>52810</v>
      </c>
      <c r="C237" s="34" t="n">
        <f aca="false">IF($B$7="원리금균등",MAX(0,MIN($G$236,ROUND($B$11,0)-$D237)),IF($B$7="원금균등",MIN($G$236,ROUND($B$4/$B$6,0)),IF(216=$B$6,$G$236,0)))</f>
        <v>883947</v>
      </c>
      <c r="D237" s="34" t="n">
        <f aca="false">ROUND($G$236*$B$10,0)</f>
        <v>583105</v>
      </c>
      <c r="E237" s="34" t="n">
        <f aca="false">IF($A237="",0,$C237+$D237)</f>
        <v>1467052</v>
      </c>
      <c r="F237" s="35"/>
      <c r="G237" s="34" t="n">
        <f aca="false">MAX(0,$G$236-$C237-$F237)</f>
        <v>165717479</v>
      </c>
      <c r="H237" s="32" t="str">
        <f aca="false">IF($B237="","",TEXT($B237,"yyyy-mm"))</f>
        <v>2044-08</v>
      </c>
      <c r="I237" s="36" t="n">
        <f aca="false">IF($B$7="원리금균등",MAX(0,MIN($K$236,ROUND($B$11,0)-$J237)),IF($B$7="원금균등",MIN($K$236,ROUND($B$4/$B$6,0)),IF(216=$B$6,$K$236,0)))</f>
        <v>883947</v>
      </c>
      <c r="J237" s="36" t="n">
        <f aca="false">ROUND($K$236*$B$10,0)</f>
        <v>583105</v>
      </c>
      <c r="K237" s="36" t="n">
        <f aca="false">MAX(0,$K$236-$I237)</f>
        <v>165717479</v>
      </c>
    </row>
    <row r="238" customFormat="false" ht="15" hidden="false" customHeight="false" outlineLevel="0" collapsed="false">
      <c r="A238" s="32" t="n">
        <f aca="false">IF(217&gt;$B$6,"",217)</f>
        <v>217</v>
      </c>
      <c r="B238" s="33" t="n">
        <f aca="false">IF($A238="","",EDATE($B$8,217-1))</f>
        <v>52841</v>
      </c>
      <c r="C238" s="34" t="n">
        <f aca="false">IF($B$7="원리금균등",MAX(0,MIN($G$237,ROUND($B$11,0)-$D238)),IF($B$7="원금균등",MIN($G$237,ROUND($B$4/$B$6,0)),IF(217=$B$6,$G$237,0)))</f>
        <v>887041</v>
      </c>
      <c r="D238" s="34" t="n">
        <f aca="false">ROUND($G$237*$B$10,0)</f>
        <v>580011</v>
      </c>
      <c r="E238" s="34" t="n">
        <f aca="false">IF($A238="",0,$C238+$D238)</f>
        <v>1467052</v>
      </c>
      <c r="F238" s="35"/>
      <c r="G238" s="34" t="n">
        <f aca="false">MAX(0,$G$237-$C238-$F238)</f>
        <v>164830438</v>
      </c>
      <c r="H238" s="32" t="str">
        <f aca="false">IF($B238="","",TEXT($B238,"yyyy-mm"))</f>
        <v>2044-09</v>
      </c>
      <c r="I238" s="36" t="n">
        <f aca="false">IF($B$7="원리금균등",MAX(0,MIN($K$237,ROUND($B$11,0)-$J238)),IF($B$7="원금균등",MIN($K$237,ROUND($B$4/$B$6,0)),IF(217=$B$6,$K$237,0)))</f>
        <v>887041</v>
      </c>
      <c r="J238" s="36" t="n">
        <f aca="false">ROUND($K$237*$B$10,0)</f>
        <v>580011</v>
      </c>
      <c r="K238" s="36" t="n">
        <f aca="false">MAX(0,$K$237-$I238)</f>
        <v>164830438</v>
      </c>
    </row>
    <row r="239" customFormat="false" ht="15" hidden="false" customHeight="false" outlineLevel="0" collapsed="false">
      <c r="A239" s="32" t="n">
        <f aca="false">IF(218&gt;$B$6,"",218)</f>
        <v>218</v>
      </c>
      <c r="B239" s="33" t="n">
        <f aca="false">IF($A239="","",EDATE($B$8,218-1))</f>
        <v>52871</v>
      </c>
      <c r="C239" s="34" t="n">
        <f aca="false">IF($B$7="원리금균등",MAX(0,MIN($G$238,ROUND($B$11,0)-$D239)),IF($B$7="원금균등",MIN($G$238,ROUND($B$4/$B$6,0)),IF(218=$B$6,$G$238,0)))</f>
        <v>890145</v>
      </c>
      <c r="D239" s="34" t="n">
        <f aca="false">ROUND($G$238*$B$10,0)</f>
        <v>576907</v>
      </c>
      <c r="E239" s="34" t="n">
        <f aca="false">IF($A239="",0,$C239+$D239)</f>
        <v>1467052</v>
      </c>
      <c r="F239" s="35"/>
      <c r="G239" s="34" t="n">
        <f aca="false">MAX(0,$G$238-$C239-$F239)</f>
        <v>163940293</v>
      </c>
      <c r="H239" s="32" t="str">
        <f aca="false">IF($B239="","",TEXT($B239,"yyyy-mm"))</f>
        <v>2044-10</v>
      </c>
      <c r="I239" s="36" t="n">
        <f aca="false">IF($B$7="원리금균등",MAX(0,MIN($K$238,ROUND($B$11,0)-$J239)),IF($B$7="원금균등",MIN($K$238,ROUND($B$4/$B$6,0)),IF(218=$B$6,$K$238,0)))</f>
        <v>890145</v>
      </c>
      <c r="J239" s="36" t="n">
        <f aca="false">ROUND($K$238*$B$10,0)</f>
        <v>576907</v>
      </c>
      <c r="K239" s="36" t="n">
        <f aca="false">MAX(0,$K$238-$I239)</f>
        <v>163940293</v>
      </c>
    </row>
    <row r="240" customFormat="false" ht="15" hidden="false" customHeight="false" outlineLevel="0" collapsed="false">
      <c r="A240" s="32" t="n">
        <f aca="false">IF(219&gt;$B$6,"",219)</f>
        <v>219</v>
      </c>
      <c r="B240" s="33" t="n">
        <f aca="false">IF($A240="","",EDATE($B$8,219-1))</f>
        <v>52902</v>
      </c>
      <c r="C240" s="34" t="n">
        <f aca="false">IF($B$7="원리금균등",MAX(0,MIN($G$239,ROUND($B$11,0)-$D240)),IF($B$7="원금균등",MIN($G$239,ROUND($B$4/$B$6,0)),IF(219=$B$6,$G$239,0)))</f>
        <v>893261</v>
      </c>
      <c r="D240" s="34" t="n">
        <f aca="false">ROUND($G$239*$B$10,0)</f>
        <v>573791</v>
      </c>
      <c r="E240" s="34" t="n">
        <f aca="false">IF($A240="",0,$C240+$D240)</f>
        <v>1467052</v>
      </c>
      <c r="F240" s="35"/>
      <c r="G240" s="34" t="n">
        <f aca="false">MAX(0,$G$239-$C240-$F240)</f>
        <v>163047032</v>
      </c>
      <c r="H240" s="32" t="str">
        <f aca="false">IF($B240="","",TEXT($B240,"yyyy-mm"))</f>
        <v>2044-11</v>
      </c>
      <c r="I240" s="36" t="n">
        <f aca="false">IF($B$7="원리금균등",MAX(0,MIN($K$239,ROUND($B$11,0)-$J240)),IF($B$7="원금균등",MIN($K$239,ROUND($B$4/$B$6,0)),IF(219=$B$6,$K$239,0)))</f>
        <v>893261</v>
      </c>
      <c r="J240" s="36" t="n">
        <f aca="false">ROUND($K$239*$B$10,0)</f>
        <v>573791</v>
      </c>
      <c r="K240" s="36" t="n">
        <f aca="false">MAX(0,$K$239-$I240)</f>
        <v>163047032</v>
      </c>
    </row>
    <row r="241" customFormat="false" ht="15" hidden="false" customHeight="false" outlineLevel="0" collapsed="false">
      <c r="A241" s="32" t="n">
        <f aca="false">IF(220&gt;$B$6,"",220)</f>
        <v>220</v>
      </c>
      <c r="B241" s="33" t="n">
        <f aca="false">IF($A241="","",EDATE($B$8,220-1))</f>
        <v>52932</v>
      </c>
      <c r="C241" s="34" t="n">
        <f aca="false">IF($B$7="원리금균등",MAX(0,MIN($G$240,ROUND($B$11,0)-$D241)),IF($B$7="원금균등",MIN($G$240,ROUND($B$4/$B$6,0)),IF(220=$B$6,$G$240,0)))</f>
        <v>896387</v>
      </c>
      <c r="D241" s="34" t="n">
        <f aca="false">ROUND($G$240*$B$10,0)</f>
        <v>570665</v>
      </c>
      <c r="E241" s="34" t="n">
        <f aca="false">IF($A241="",0,$C241+$D241)</f>
        <v>1467052</v>
      </c>
      <c r="F241" s="35"/>
      <c r="G241" s="34" t="n">
        <f aca="false">MAX(0,$G$240-$C241-$F241)</f>
        <v>162150645</v>
      </c>
      <c r="H241" s="32" t="str">
        <f aca="false">IF($B241="","",TEXT($B241,"yyyy-mm"))</f>
        <v>2044-12</v>
      </c>
      <c r="I241" s="36" t="n">
        <f aca="false">IF($B$7="원리금균등",MAX(0,MIN($K$240,ROUND($B$11,0)-$J241)),IF($B$7="원금균등",MIN($K$240,ROUND($B$4/$B$6,0)),IF(220=$B$6,$K$240,0)))</f>
        <v>896387</v>
      </c>
      <c r="J241" s="36" t="n">
        <f aca="false">ROUND($K$240*$B$10,0)</f>
        <v>570665</v>
      </c>
      <c r="K241" s="36" t="n">
        <f aca="false">MAX(0,$K$240-$I241)</f>
        <v>162150645</v>
      </c>
    </row>
    <row r="242" customFormat="false" ht="15" hidden="false" customHeight="false" outlineLevel="0" collapsed="false">
      <c r="A242" s="32" t="n">
        <f aca="false">IF(221&gt;$B$6,"",221)</f>
        <v>221</v>
      </c>
      <c r="B242" s="33" t="n">
        <f aca="false">IF($A242="","",EDATE($B$8,221-1))</f>
        <v>52963</v>
      </c>
      <c r="C242" s="34" t="n">
        <f aca="false">IF($B$7="원리금균등",MAX(0,MIN($G$241,ROUND($B$11,0)-$D242)),IF($B$7="원금균등",MIN($G$241,ROUND($B$4/$B$6,0)),IF(221=$B$6,$G$241,0)))</f>
        <v>899525</v>
      </c>
      <c r="D242" s="34" t="n">
        <f aca="false">ROUND($G$241*$B$10,0)</f>
        <v>567527</v>
      </c>
      <c r="E242" s="34" t="n">
        <f aca="false">IF($A242="",0,$C242+$D242)</f>
        <v>1467052</v>
      </c>
      <c r="F242" s="35"/>
      <c r="G242" s="34" t="n">
        <f aca="false">MAX(0,$G$241-$C242-$F242)</f>
        <v>161251120</v>
      </c>
      <c r="H242" s="32" t="str">
        <f aca="false">IF($B242="","",TEXT($B242,"yyyy-mm"))</f>
        <v>2045-01</v>
      </c>
      <c r="I242" s="36" t="n">
        <f aca="false">IF($B$7="원리금균등",MAX(0,MIN($K$241,ROUND($B$11,0)-$J242)),IF($B$7="원금균등",MIN($K$241,ROUND($B$4/$B$6,0)),IF(221=$B$6,$K$241,0)))</f>
        <v>899525</v>
      </c>
      <c r="J242" s="36" t="n">
        <f aca="false">ROUND($K$241*$B$10,0)</f>
        <v>567527</v>
      </c>
      <c r="K242" s="36" t="n">
        <f aca="false">MAX(0,$K$241-$I242)</f>
        <v>161251120</v>
      </c>
    </row>
    <row r="243" customFormat="false" ht="15" hidden="false" customHeight="false" outlineLevel="0" collapsed="false">
      <c r="A243" s="32" t="n">
        <f aca="false">IF(222&gt;$B$6,"",222)</f>
        <v>222</v>
      </c>
      <c r="B243" s="33" t="n">
        <f aca="false">IF($A243="","",EDATE($B$8,222-1))</f>
        <v>52994</v>
      </c>
      <c r="C243" s="34" t="n">
        <f aca="false">IF($B$7="원리금균등",MAX(0,MIN($G$242,ROUND($B$11,0)-$D243)),IF($B$7="원금균등",MIN($G$242,ROUND($B$4/$B$6,0)),IF(222=$B$6,$G$242,0)))</f>
        <v>902673</v>
      </c>
      <c r="D243" s="34" t="n">
        <f aca="false">ROUND($G$242*$B$10,0)</f>
        <v>564379</v>
      </c>
      <c r="E243" s="34" t="n">
        <f aca="false">IF($A243="",0,$C243+$D243)</f>
        <v>1467052</v>
      </c>
      <c r="F243" s="35"/>
      <c r="G243" s="34" t="n">
        <f aca="false">MAX(0,$G$242-$C243-$F243)</f>
        <v>160348447</v>
      </c>
      <c r="H243" s="32" t="str">
        <f aca="false">IF($B243="","",TEXT($B243,"yyyy-mm"))</f>
        <v>2045-02</v>
      </c>
      <c r="I243" s="36" t="n">
        <f aca="false">IF($B$7="원리금균등",MAX(0,MIN($K$242,ROUND($B$11,0)-$J243)),IF($B$7="원금균등",MIN($K$242,ROUND($B$4/$B$6,0)),IF(222=$B$6,$K$242,0)))</f>
        <v>902673</v>
      </c>
      <c r="J243" s="36" t="n">
        <f aca="false">ROUND($K$242*$B$10,0)</f>
        <v>564379</v>
      </c>
      <c r="K243" s="36" t="n">
        <f aca="false">MAX(0,$K$242-$I243)</f>
        <v>160348447</v>
      </c>
    </row>
    <row r="244" customFormat="false" ht="15" hidden="false" customHeight="false" outlineLevel="0" collapsed="false">
      <c r="A244" s="32" t="n">
        <f aca="false">IF(223&gt;$B$6,"",223)</f>
        <v>223</v>
      </c>
      <c r="B244" s="33" t="n">
        <f aca="false">IF($A244="","",EDATE($B$8,223-1))</f>
        <v>53022</v>
      </c>
      <c r="C244" s="34" t="n">
        <f aca="false">IF($B$7="원리금균등",MAX(0,MIN($G$243,ROUND($B$11,0)-$D244)),IF($B$7="원금균등",MIN($G$243,ROUND($B$4/$B$6,0)),IF(223=$B$6,$G$243,0)))</f>
        <v>905832</v>
      </c>
      <c r="D244" s="34" t="n">
        <f aca="false">ROUND($G$243*$B$10,0)</f>
        <v>561220</v>
      </c>
      <c r="E244" s="34" t="n">
        <f aca="false">IF($A244="",0,$C244+$D244)</f>
        <v>1467052</v>
      </c>
      <c r="F244" s="35"/>
      <c r="G244" s="34" t="n">
        <f aca="false">MAX(0,$G$243-$C244-$F244)</f>
        <v>159442615</v>
      </c>
      <c r="H244" s="32" t="str">
        <f aca="false">IF($B244="","",TEXT($B244,"yyyy-mm"))</f>
        <v>2045-03</v>
      </c>
      <c r="I244" s="36" t="n">
        <f aca="false">IF($B$7="원리금균등",MAX(0,MIN($K$243,ROUND($B$11,0)-$J244)),IF($B$7="원금균등",MIN($K$243,ROUND($B$4/$B$6,0)),IF(223=$B$6,$K$243,0)))</f>
        <v>905832</v>
      </c>
      <c r="J244" s="36" t="n">
        <f aca="false">ROUND($K$243*$B$10,0)</f>
        <v>561220</v>
      </c>
      <c r="K244" s="36" t="n">
        <f aca="false">MAX(0,$K$243-$I244)</f>
        <v>159442615</v>
      </c>
    </row>
    <row r="245" customFormat="false" ht="15" hidden="false" customHeight="false" outlineLevel="0" collapsed="false">
      <c r="A245" s="32" t="n">
        <f aca="false">IF(224&gt;$B$6,"",224)</f>
        <v>224</v>
      </c>
      <c r="B245" s="33" t="n">
        <f aca="false">IF($A245="","",EDATE($B$8,224-1))</f>
        <v>53053</v>
      </c>
      <c r="C245" s="34" t="n">
        <f aca="false">IF($B$7="원리금균등",MAX(0,MIN($G$244,ROUND($B$11,0)-$D245)),IF($B$7="원금균등",MIN($G$244,ROUND($B$4/$B$6,0)),IF(224=$B$6,$G$244,0)))</f>
        <v>909003</v>
      </c>
      <c r="D245" s="34" t="n">
        <f aca="false">ROUND($G$244*$B$10,0)</f>
        <v>558049</v>
      </c>
      <c r="E245" s="34" t="n">
        <f aca="false">IF($A245="",0,$C245+$D245)</f>
        <v>1467052</v>
      </c>
      <c r="F245" s="35"/>
      <c r="G245" s="34" t="n">
        <f aca="false">MAX(0,$G$244-$C245-$F245)</f>
        <v>158533612</v>
      </c>
      <c r="H245" s="32" t="str">
        <f aca="false">IF($B245="","",TEXT($B245,"yyyy-mm"))</f>
        <v>2045-04</v>
      </c>
      <c r="I245" s="36" t="n">
        <f aca="false">IF($B$7="원리금균등",MAX(0,MIN($K$244,ROUND($B$11,0)-$J245)),IF($B$7="원금균등",MIN($K$244,ROUND($B$4/$B$6,0)),IF(224=$B$6,$K$244,0)))</f>
        <v>909003</v>
      </c>
      <c r="J245" s="36" t="n">
        <f aca="false">ROUND($K$244*$B$10,0)</f>
        <v>558049</v>
      </c>
      <c r="K245" s="36" t="n">
        <f aca="false">MAX(0,$K$244-$I245)</f>
        <v>158533612</v>
      </c>
    </row>
    <row r="246" customFormat="false" ht="15" hidden="false" customHeight="false" outlineLevel="0" collapsed="false">
      <c r="A246" s="32" t="n">
        <f aca="false">IF(225&gt;$B$6,"",225)</f>
        <v>225</v>
      </c>
      <c r="B246" s="33" t="n">
        <f aca="false">IF($A246="","",EDATE($B$8,225-1))</f>
        <v>53083</v>
      </c>
      <c r="C246" s="34" t="n">
        <f aca="false">IF($B$7="원리금균등",MAX(0,MIN($G$245,ROUND($B$11,0)-$D246)),IF($B$7="원금균등",MIN($G$245,ROUND($B$4/$B$6,0)),IF(225=$B$6,$G$245,0)))</f>
        <v>912184</v>
      </c>
      <c r="D246" s="34" t="n">
        <f aca="false">ROUND($G$245*$B$10,0)</f>
        <v>554868</v>
      </c>
      <c r="E246" s="34" t="n">
        <f aca="false">IF($A246="",0,$C246+$D246)</f>
        <v>1467052</v>
      </c>
      <c r="F246" s="35"/>
      <c r="G246" s="34" t="n">
        <f aca="false">MAX(0,$G$245-$C246-$F246)</f>
        <v>157621428</v>
      </c>
      <c r="H246" s="32" t="str">
        <f aca="false">IF($B246="","",TEXT($B246,"yyyy-mm"))</f>
        <v>2045-05</v>
      </c>
      <c r="I246" s="36" t="n">
        <f aca="false">IF($B$7="원리금균등",MAX(0,MIN($K$245,ROUND($B$11,0)-$J246)),IF($B$7="원금균등",MIN($K$245,ROUND($B$4/$B$6,0)),IF(225=$B$6,$K$245,0)))</f>
        <v>912184</v>
      </c>
      <c r="J246" s="36" t="n">
        <f aca="false">ROUND($K$245*$B$10,0)</f>
        <v>554868</v>
      </c>
      <c r="K246" s="36" t="n">
        <f aca="false">MAX(0,$K$245-$I246)</f>
        <v>157621428</v>
      </c>
    </row>
    <row r="247" customFormat="false" ht="15" hidden="false" customHeight="false" outlineLevel="0" collapsed="false">
      <c r="A247" s="32" t="n">
        <f aca="false">IF(226&gt;$B$6,"",226)</f>
        <v>226</v>
      </c>
      <c r="B247" s="33" t="n">
        <f aca="false">IF($A247="","",EDATE($B$8,226-1))</f>
        <v>53114</v>
      </c>
      <c r="C247" s="34" t="n">
        <f aca="false">IF($B$7="원리금균등",MAX(0,MIN($G$246,ROUND($B$11,0)-$D247)),IF($B$7="원금균등",MIN($G$246,ROUND($B$4/$B$6,0)),IF(226=$B$6,$G$246,0)))</f>
        <v>915377</v>
      </c>
      <c r="D247" s="34" t="n">
        <f aca="false">ROUND($G$246*$B$10,0)</f>
        <v>551675</v>
      </c>
      <c r="E247" s="34" t="n">
        <f aca="false">IF($A247="",0,$C247+$D247)</f>
        <v>1467052</v>
      </c>
      <c r="F247" s="35"/>
      <c r="G247" s="34" t="n">
        <f aca="false">MAX(0,$G$246-$C247-$F247)</f>
        <v>156706051</v>
      </c>
      <c r="H247" s="32" t="str">
        <f aca="false">IF($B247="","",TEXT($B247,"yyyy-mm"))</f>
        <v>2045-06</v>
      </c>
      <c r="I247" s="36" t="n">
        <f aca="false">IF($B$7="원리금균등",MAX(0,MIN($K$246,ROUND($B$11,0)-$J247)),IF($B$7="원금균등",MIN($K$246,ROUND($B$4/$B$6,0)),IF(226=$B$6,$K$246,0)))</f>
        <v>915377</v>
      </c>
      <c r="J247" s="36" t="n">
        <f aca="false">ROUND($K$246*$B$10,0)</f>
        <v>551675</v>
      </c>
      <c r="K247" s="36" t="n">
        <f aca="false">MAX(0,$K$246-$I247)</f>
        <v>156706051</v>
      </c>
    </row>
    <row r="248" customFormat="false" ht="15" hidden="false" customHeight="false" outlineLevel="0" collapsed="false">
      <c r="A248" s="32" t="n">
        <f aca="false">IF(227&gt;$B$6,"",227)</f>
        <v>227</v>
      </c>
      <c r="B248" s="33" t="n">
        <f aca="false">IF($A248="","",EDATE($B$8,227-1))</f>
        <v>53144</v>
      </c>
      <c r="C248" s="34" t="n">
        <f aca="false">IF($B$7="원리금균등",MAX(0,MIN($G$247,ROUND($B$11,0)-$D248)),IF($B$7="원금균등",MIN($G$247,ROUND($B$4/$B$6,0)),IF(227=$B$6,$G$247,0)))</f>
        <v>918581</v>
      </c>
      <c r="D248" s="34" t="n">
        <f aca="false">ROUND($G$247*$B$10,0)</f>
        <v>548471</v>
      </c>
      <c r="E248" s="34" t="n">
        <f aca="false">IF($A248="",0,$C248+$D248)</f>
        <v>1467052</v>
      </c>
      <c r="F248" s="35"/>
      <c r="G248" s="34" t="n">
        <f aca="false">MAX(0,$G$247-$C248-$F248)</f>
        <v>155787470</v>
      </c>
      <c r="H248" s="32" t="str">
        <f aca="false">IF($B248="","",TEXT($B248,"yyyy-mm"))</f>
        <v>2045-07</v>
      </c>
      <c r="I248" s="36" t="n">
        <f aca="false">IF($B$7="원리금균등",MAX(0,MIN($K$247,ROUND($B$11,0)-$J248)),IF($B$7="원금균등",MIN($K$247,ROUND($B$4/$B$6,0)),IF(227=$B$6,$K$247,0)))</f>
        <v>918581</v>
      </c>
      <c r="J248" s="36" t="n">
        <f aca="false">ROUND($K$247*$B$10,0)</f>
        <v>548471</v>
      </c>
      <c r="K248" s="36" t="n">
        <f aca="false">MAX(0,$K$247-$I248)</f>
        <v>155787470</v>
      </c>
    </row>
    <row r="249" customFormat="false" ht="15" hidden="false" customHeight="false" outlineLevel="0" collapsed="false">
      <c r="A249" s="32" t="n">
        <f aca="false">IF(228&gt;$B$6,"",228)</f>
        <v>228</v>
      </c>
      <c r="B249" s="33" t="n">
        <f aca="false">IF($A249="","",EDATE($B$8,228-1))</f>
        <v>53175</v>
      </c>
      <c r="C249" s="34" t="n">
        <f aca="false">IF($B$7="원리금균등",MAX(0,MIN($G$248,ROUND($B$11,0)-$D249)),IF($B$7="원금균등",MIN($G$248,ROUND($B$4/$B$6,0)),IF(228=$B$6,$G$248,0)))</f>
        <v>921796</v>
      </c>
      <c r="D249" s="34" t="n">
        <f aca="false">ROUND($G$248*$B$10,0)</f>
        <v>545256</v>
      </c>
      <c r="E249" s="34" t="n">
        <f aca="false">IF($A249="",0,$C249+$D249)</f>
        <v>1467052</v>
      </c>
      <c r="F249" s="35"/>
      <c r="G249" s="34" t="n">
        <f aca="false">MAX(0,$G$248-$C249-$F249)</f>
        <v>154865674</v>
      </c>
      <c r="H249" s="32" t="str">
        <f aca="false">IF($B249="","",TEXT($B249,"yyyy-mm"))</f>
        <v>2045-08</v>
      </c>
      <c r="I249" s="36" t="n">
        <f aca="false">IF($B$7="원리금균등",MAX(0,MIN($K$248,ROUND($B$11,0)-$J249)),IF($B$7="원금균등",MIN($K$248,ROUND($B$4/$B$6,0)),IF(228=$B$6,$K$248,0)))</f>
        <v>921796</v>
      </c>
      <c r="J249" s="36" t="n">
        <f aca="false">ROUND($K$248*$B$10,0)</f>
        <v>545256</v>
      </c>
      <c r="K249" s="36" t="n">
        <f aca="false">MAX(0,$K$248-$I249)</f>
        <v>154865674</v>
      </c>
    </row>
    <row r="250" customFormat="false" ht="15" hidden="false" customHeight="false" outlineLevel="0" collapsed="false">
      <c r="A250" s="32" t="n">
        <f aca="false">IF(229&gt;$B$6,"",229)</f>
        <v>229</v>
      </c>
      <c r="B250" s="33" t="n">
        <f aca="false">IF($A250="","",EDATE($B$8,229-1))</f>
        <v>53206</v>
      </c>
      <c r="C250" s="34" t="n">
        <f aca="false">IF($B$7="원리금균등",MAX(0,MIN($G$249,ROUND($B$11,0)-$D250)),IF($B$7="원금균등",MIN($G$249,ROUND($B$4/$B$6,0)),IF(229=$B$6,$G$249,0)))</f>
        <v>925022</v>
      </c>
      <c r="D250" s="34" t="n">
        <f aca="false">ROUND($G$249*$B$10,0)</f>
        <v>542030</v>
      </c>
      <c r="E250" s="34" t="n">
        <f aca="false">IF($A250="",0,$C250+$D250)</f>
        <v>1467052</v>
      </c>
      <c r="F250" s="35"/>
      <c r="G250" s="34" t="n">
        <f aca="false">MAX(0,$G$249-$C250-$F250)</f>
        <v>153940652</v>
      </c>
      <c r="H250" s="32" t="str">
        <f aca="false">IF($B250="","",TEXT($B250,"yyyy-mm"))</f>
        <v>2045-09</v>
      </c>
      <c r="I250" s="36" t="n">
        <f aca="false">IF($B$7="원리금균등",MAX(0,MIN($K$249,ROUND($B$11,0)-$J250)),IF($B$7="원금균등",MIN($K$249,ROUND($B$4/$B$6,0)),IF(229=$B$6,$K$249,0)))</f>
        <v>925022</v>
      </c>
      <c r="J250" s="36" t="n">
        <f aca="false">ROUND($K$249*$B$10,0)</f>
        <v>542030</v>
      </c>
      <c r="K250" s="36" t="n">
        <f aca="false">MAX(0,$K$249-$I250)</f>
        <v>153940652</v>
      </c>
    </row>
    <row r="251" customFormat="false" ht="15" hidden="false" customHeight="false" outlineLevel="0" collapsed="false">
      <c r="A251" s="32" t="n">
        <f aca="false">IF(230&gt;$B$6,"",230)</f>
        <v>230</v>
      </c>
      <c r="B251" s="33" t="n">
        <f aca="false">IF($A251="","",EDATE($B$8,230-1))</f>
        <v>53236</v>
      </c>
      <c r="C251" s="34" t="n">
        <f aca="false">IF($B$7="원리금균등",MAX(0,MIN($G$250,ROUND($B$11,0)-$D251)),IF($B$7="원금균등",MIN($G$250,ROUND($B$4/$B$6,0)),IF(230=$B$6,$G$250,0)))</f>
        <v>928260</v>
      </c>
      <c r="D251" s="34" t="n">
        <f aca="false">ROUND($G$250*$B$10,0)</f>
        <v>538792</v>
      </c>
      <c r="E251" s="34" t="n">
        <f aca="false">IF($A251="",0,$C251+$D251)</f>
        <v>1467052</v>
      </c>
      <c r="F251" s="35"/>
      <c r="G251" s="34" t="n">
        <f aca="false">MAX(0,$G$250-$C251-$F251)</f>
        <v>153012392</v>
      </c>
      <c r="H251" s="32" t="str">
        <f aca="false">IF($B251="","",TEXT($B251,"yyyy-mm"))</f>
        <v>2045-10</v>
      </c>
      <c r="I251" s="36" t="n">
        <f aca="false">IF($B$7="원리금균등",MAX(0,MIN($K$250,ROUND($B$11,0)-$J251)),IF($B$7="원금균등",MIN($K$250,ROUND($B$4/$B$6,0)),IF(230=$B$6,$K$250,0)))</f>
        <v>928260</v>
      </c>
      <c r="J251" s="36" t="n">
        <f aca="false">ROUND($K$250*$B$10,0)</f>
        <v>538792</v>
      </c>
      <c r="K251" s="36" t="n">
        <f aca="false">MAX(0,$K$250-$I251)</f>
        <v>153012392</v>
      </c>
    </row>
    <row r="252" customFormat="false" ht="15" hidden="false" customHeight="false" outlineLevel="0" collapsed="false">
      <c r="A252" s="32" t="n">
        <f aca="false">IF(231&gt;$B$6,"",231)</f>
        <v>231</v>
      </c>
      <c r="B252" s="33" t="n">
        <f aca="false">IF($A252="","",EDATE($B$8,231-1))</f>
        <v>53267</v>
      </c>
      <c r="C252" s="34" t="n">
        <f aca="false">IF($B$7="원리금균등",MAX(0,MIN($G$251,ROUND($B$11,0)-$D252)),IF($B$7="원금균등",MIN($G$251,ROUND($B$4/$B$6,0)),IF(231=$B$6,$G$251,0)))</f>
        <v>931509</v>
      </c>
      <c r="D252" s="34" t="n">
        <f aca="false">ROUND($G$251*$B$10,0)</f>
        <v>535543</v>
      </c>
      <c r="E252" s="34" t="n">
        <f aca="false">IF($A252="",0,$C252+$D252)</f>
        <v>1467052</v>
      </c>
      <c r="F252" s="35"/>
      <c r="G252" s="34" t="n">
        <f aca="false">MAX(0,$G$251-$C252-$F252)</f>
        <v>152080883</v>
      </c>
      <c r="H252" s="32" t="str">
        <f aca="false">IF($B252="","",TEXT($B252,"yyyy-mm"))</f>
        <v>2045-11</v>
      </c>
      <c r="I252" s="36" t="n">
        <f aca="false">IF($B$7="원리금균등",MAX(0,MIN($K$251,ROUND($B$11,0)-$J252)),IF($B$7="원금균등",MIN($K$251,ROUND($B$4/$B$6,0)),IF(231=$B$6,$K$251,0)))</f>
        <v>931509</v>
      </c>
      <c r="J252" s="36" t="n">
        <f aca="false">ROUND($K$251*$B$10,0)</f>
        <v>535543</v>
      </c>
      <c r="K252" s="36" t="n">
        <f aca="false">MAX(0,$K$251-$I252)</f>
        <v>152080883</v>
      </c>
    </row>
    <row r="253" customFormat="false" ht="15" hidden="false" customHeight="false" outlineLevel="0" collapsed="false">
      <c r="A253" s="32" t="n">
        <f aca="false">IF(232&gt;$B$6,"",232)</f>
        <v>232</v>
      </c>
      <c r="B253" s="33" t="n">
        <f aca="false">IF($A253="","",EDATE($B$8,232-1))</f>
        <v>53297</v>
      </c>
      <c r="C253" s="34" t="n">
        <f aca="false">IF($B$7="원리금균등",MAX(0,MIN($G$252,ROUND($B$11,0)-$D253)),IF($B$7="원금균등",MIN($G$252,ROUND($B$4/$B$6,0)),IF(232=$B$6,$G$252,0)))</f>
        <v>934769</v>
      </c>
      <c r="D253" s="34" t="n">
        <f aca="false">ROUND($G$252*$B$10,0)</f>
        <v>532283</v>
      </c>
      <c r="E253" s="34" t="n">
        <f aca="false">IF($A253="",0,$C253+$D253)</f>
        <v>1467052</v>
      </c>
      <c r="F253" s="35"/>
      <c r="G253" s="34" t="n">
        <f aca="false">MAX(0,$G$252-$C253-$F253)</f>
        <v>151146114</v>
      </c>
      <c r="H253" s="32" t="str">
        <f aca="false">IF($B253="","",TEXT($B253,"yyyy-mm"))</f>
        <v>2045-12</v>
      </c>
      <c r="I253" s="36" t="n">
        <f aca="false">IF($B$7="원리금균등",MAX(0,MIN($K$252,ROUND($B$11,0)-$J253)),IF($B$7="원금균등",MIN($K$252,ROUND($B$4/$B$6,0)),IF(232=$B$6,$K$252,0)))</f>
        <v>934769</v>
      </c>
      <c r="J253" s="36" t="n">
        <f aca="false">ROUND($K$252*$B$10,0)</f>
        <v>532283</v>
      </c>
      <c r="K253" s="36" t="n">
        <f aca="false">MAX(0,$K$252-$I253)</f>
        <v>151146114</v>
      </c>
    </row>
    <row r="254" customFormat="false" ht="15" hidden="false" customHeight="false" outlineLevel="0" collapsed="false">
      <c r="A254" s="32" t="n">
        <f aca="false">IF(233&gt;$B$6,"",233)</f>
        <v>233</v>
      </c>
      <c r="B254" s="33" t="n">
        <f aca="false">IF($A254="","",EDATE($B$8,233-1))</f>
        <v>53328</v>
      </c>
      <c r="C254" s="34" t="n">
        <f aca="false">IF($B$7="원리금균등",MAX(0,MIN($G$253,ROUND($B$11,0)-$D254)),IF($B$7="원금균등",MIN($G$253,ROUND($B$4/$B$6,0)),IF(233=$B$6,$G$253,0)))</f>
        <v>938041</v>
      </c>
      <c r="D254" s="34" t="n">
        <f aca="false">ROUND($G$253*$B$10,0)</f>
        <v>529011</v>
      </c>
      <c r="E254" s="34" t="n">
        <f aca="false">IF($A254="",0,$C254+$D254)</f>
        <v>1467052</v>
      </c>
      <c r="F254" s="35"/>
      <c r="G254" s="34" t="n">
        <f aca="false">MAX(0,$G$253-$C254-$F254)</f>
        <v>150208073</v>
      </c>
      <c r="H254" s="32" t="str">
        <f aca="false">IF($B254="","",TEXT($B254,"yyyy-mm"))</f>
        <v>2046-01</v>
      </c>
      <c r="I254" s="36" t="n">
        <f aca="false">IF($B$7="원리금균등",MAX(0,MIN($K$253,ROUND($B$11,0)-$J254)),IF($B$7="원금균등",MIN($K$253,ROUND($B$4/$B$6,0)),IF(233=$B$6,$K$253,0)))</f>
        <v>938041</v>
      </c>
      <c r="J254" s="36" t="n">
        <f aca="false">ROUND($K$253*$B$10,0)</f>
        <v>529011</v>
      </c>
      <c r="K254" s="36" t="n">
        <f aca="false">MAX(0,$K$253-$I254)</f>
        <v>150208073</v>
      </c>
    </row>
    <row r="255" customFormat="false" ht="15" hidden="false" customHeight="false" outlineLevel="0" collapsed="false">
      <c r="A255" s="32" t="n">
        <f aca="false">IF(234&gt;$B$6,"",234)</f>
        <v>234</v>
      </c>
      <c r="B255" s="33" t="n">
        <f aca="false">IF($A255="","",EDATE($B$8,234-1))</f>
        <v>53359</v>
      </c>
      <c r="C255" s="34" t="n">
        <f aca="false">IF($B$7="원리금균등",MAX(0,MIN($G$254,ROUND($B$11,0)-$D255)),IF($B$7="원금균등",MIN($G$254,ROUND($B$4/$B$6,0)),IF(234=$B$6,$G$254,0)))</f>
        <v>941324</v>
      </c>
      <c r="D255" s="34" t="n">
        <f aca="false">ROUND($G$254*$B$10,0)</f>
        <v>525728</v>
      </c>
      <c r="E255" s="34" t="n">
        <f aca="false">IF($A255="",0,$C255+$D255)</f>
        <v>1467052</v>
      </c>
      <c r="F255" s="35"/>
      <c r="G255" s="34" t="n">
        <f aca="false">MAX(0,$G$254-$C255-$F255)</f>
        <v>149266749</v>
      </c>
      <c r="H255" s="32" t="str">
        <f aca="false">IF($B255="","",TEXT($B255,"yyyy-mm"))</f>
        <v>2046-02</v>
      </c>
      <c r="I255" s="36" t="n">
        <f aca="false">IF($B$7="원리금균등",MAX(0,MIN($K$254,ROUND($B$11,0)-$J255)),IF($B$7="원금균등",MIN($K$254,ROUND($B$4/$B$6,0)),IF(234=$B$6,$K$254,0)))</f>
        <v>941324</v>
      </c>
      <c r="J255" s="36" t="n">
        <f aca="false">ROUND($K$254*$B$10,0)</f>
        <v>525728</v>
      </c>
      <c r="K255" s="36" t="n">
        <f aca="false">MAX(0,$K$254-$I255)</f>
        <v>149266749</v>
      </c>
    </row>
    <row r="256" customFormat="false" ht="15" hidden="false" customHeight="false" outlineLevel="0" collapsed="false">
      <c r="A256" s="32" t="n">
        <f aca="false">IF(235&gt;$B$6,"",235)</f>
        <v>235</v>
      </c>
      <c r="B256" s="33" t="n">
        <f aca="false">IF($A256="","",EDATE($B$8,235-1))</f>
        <v>53387</v>
      </c>
      <c r="C256" s="34" t="n">
        <f aca="false">IF($B$7="원리금균등",MAX(0,MIN($G$255,ROUND($B$11,0)-$D256)),IF($B$7="원금균등",MIN($G$255,ROUND($B$4/$B$6,0)),IF(235=$B$6,$G$255,0)))</f>
        <v>944618</v>
      </c>
      <c r="D256" s="34" t="n">
        <f aca="false">ROUND($G$255*$B$10,0)</f>
        <v>522434</v>
      </c>
      <c r="E256" s="34" t="n">
        <f aca="false">IF($A256="",0,$C256+$D256)</f>
        <v>1467052</v>
      </c>
      <c r="F256" s="35"/>
      <c r="G256" s="34" t="n">
        <f aca="false">MAX(0,$G$255-$C256-$F256)</f>
        <v>148322131</v>
      </c>
      <c r="H256" s="32" t="str">
        <f aca="false">IF($B256="","",TEXT($B256,"yyyy-mm"))</f>
        <v>2046-03</v>
      </c>
      <c r="I256" s="36" t="n">
        <f aca="false">IF($B$7="원리금균등",MAX(0,MIN($K$255,ROUND($B$11,0)-$J256)),IF($B$7="원금균등",MIN($K$255,ROUND($B$4/$B$6,0)),IF(235=$B$6,$K$255,0)))</f>
        <v>944618</v>
      </c>
      <c r="J256" s="36" t="n">
        <f aca="false">ROUND($K$255*$B$10,0)</f>
        <v>522434</v>
      </c>
      <c r="K256" s="36" t="n">
        <f aca="false">MAX(0,$K$255-$I256)</f>
        <v>148322131</v>
      </c>
    </row>
    <row r="257" customFormat="false" ht="15" hidden="false" customHeight="false" outlineLevel="0" collapsed="false">
      <c r="A257" s="32" t="n">
        <f aca="false">IF(236&gt;$B$6,"",236)</f>
        <v>236</v>
      </c>
      <c r="B257" s="33" t="n">
        <f aca="false">IF($A257="","",EDATE($B$8,236-1))</f>
        <v>53418</v>
      </c>
      <c r="C257" s="34" t="n">
        <f aca="false">IF($B$7="원리금균등",MAX(0,MIN($G$256,ROUND($B$11,0)-$D257)),IF($B$7="원금균등",MIN($G$256,ROUND($B$4/$B$6,0)),IF(236=$B$6,$G$256,0)))</f>
        <v>947925</v>
      </c>
      <c r="D257" s="34" t="n">
        <f aca="false">ROUND($G$256*$B$10,0)</f>
        <v>519127</v>
      </c>
      <c r="E257" s="34" t="n">
        <f aca="false">IF($A257="",0,$C257+$D257)</f>
        <v>1467052</v>
      </c>
      <c r="F257" s="35"/>
      <c r="G257" s="34" t="n">
        <f aca="false">MAX(0,$G$256-$C257-$F257)</f>
        <v>147374206</v>
      </c>
      <c r="H257" s="32" t="str">
        <f aca="false">IF($B257="","",TEXT($B257,"yyyy-mm"))</f>
        <v>2046-04</v>
      </c>
      <c r="I257" s="36" t="n">
        <f aca="false">IF($B$7="원리금균등",MAX(0,MIN($K$256,ROUND($B$11,0)-$J257)),IF($B$7="원금균등",MIN($K$256,ROUND($B$4/$B$6,0)),IF(236=$B$6,$K$256,0)))</f>
        <v>947925</v>
      </c>
      <c r="J257" s="36" t="n">
        <f aca="false">ROUND($K$256*$B$10,0)</f>
        <v>519127</v>
      </c>
      <c r="K257" s="36" t="n">
        <f aca="false">MAX(0,$K$256-$I257)</f>
        <v>147374206</v>
      </c>
    </row>
    <row r="258" customFormat="false" ht="15" hidden="false" customHeight="false" outlineLevel="0" collapsed="false">
      <c r="A258" s="32" t="n">
        <f aca="false">IF(237&gt;$B$6,"",237)</f>
        <v>237</v>
      </c>
      <c r="B258" s="33" t="n">
        <f aca="false">IF($A258="","",EDATE($B$8,237-1))</f>
        <v>53448</v>
      </c>
      <c r="C258" s="34" t="n">
        <f aca="false">IF($B$7="원리금균등",MAX(0,MIN($G$257,ROUND($B$11,0)-$D258)),IF($B$7="원금균등",MIN($G$257,ROUND($B$4/$B$6,0)),IF(237=$B$6,$G$257,0)))</f>
        <v>951242</v>
      </c>
      <c r="D258" s="34" t="n">
        <f aca="false">ROUND($G$257*$B$10,0)</f>
        <v>515810</v>
      </c>
      <c r="E258" s="34" t="n">
        <f aca="false">IF($A258="",0,$C258+$D258)</f>
        <v>1467052</v>
      </c>
      <c r="F258" s="35"/>
      <c r="G258" s="34" t="n">
        <f aca="false">MAX(0,$G$257-$C258-$F258)</f>
        <v>146422964</v>
      </c>
      <c r="H258" s="32" t="str">
        <f aca="false">IF($B258="","",TEXT($B258,"yyyy-mm"))</f>
        <v>2046-05</v>
      </c>
      <c r="I258" s="36" t="n">
        <f aca="false">IF($B$7="원리금균등",MAX(0,MIN($K$257,ROUND($B$11,0)-$J258)),IF($B$7="원금균등",MIN($K$257,ROUND($B$4/$B$6,0)),IF(237=$B$6,$K$257,0)))</f>
        <v>951242</v>
      </c>
      <c r="J258" s="36" t="n">
        <f aca="false">ROUND($K$257*$B$10,0)</f>
        <v>515810</v>
      </c>
      <c r="K258" s="36" t="n">
        <f aca="false">MAX(0,$K$257-$I258)</f>
        <v>146422964</v>
      </c>
    </row>
    <row r="259" customFormat="false" ht="15" hidden="false" customHeight="false" outlineLevel="0" collapsed="false">
      <c r="A259" s="32" t="n">
        <f aca="false">IF(238&gt;$B$6,"",238)</f>
        <v>238</v>
      </c>
      <c r="B259" s="33" t="n">
        <f aca="false">IF($A259="","",EDATE($B$8,238-1))</f>
        <v>53479</v>
      </c>
      <c r="C259" s="34" t="n">
        <f aca="false">IF($B$7="원리금균등",MAX(0,MIN($G$258,ROUND($B$11,0)-$D259)),IF($B$7="원금균등",MIN($G$258,ROUND($B$4/$B$6,0)),IF(238=$B$6,$G$258,0)))</f>
        <v>954572</v>
      </c>
      <c r="D259" s="34" t="n">
        <f aca="false">ROUND($G$258*$B$10,0)</f>
        <v>512480</v>
      </c>
      <c r="E259" s="34" t="n">
        <f aca="false">IF($A259="",0,$C259+$D259)</f>
        <v>1467052</v>
      </c>
      <c r="F259" s="35"/>
      <c r="G259" s="34" t="n">
        <f aca="false">MAX(0,$G$258-$C259-$F259)</f>
        <v>145468392</v>
      </c>
      <c r="H259" s="32" t="str">
        <f aca="false">IF($B259="","",TEXT($B259,"yyyy-mm"))</f>
        <v>2046-06</v>
      </c>
      <c r="I259" s="36" t="n">
        <f aca="false">IF($B$7="원리금균등",MAX(0,MIN($K$258,ROUND($B$11,0)-$J259)),IF($B$7="원금균등",MIN($K$258,ROUND($B$4/$B$6,0)),IF(238=$B$6,$K$258,0)))</f>
        <v>954572</v>
      </c>
      <c r="J259" s="36" t="n">
        <f aca="false">ROUND($K$258*$B$10,0)</f>
        <v>512480</v>
      </c>
      <c r="K259" s="36" t="n">
        <f aca="false">MAX(0,$K$258-$I259)</f>
        <v>145468392</v>
      </c>
    </row>
    <row r="260" customFormat="false" ht="15" hidden="false" customHeight="false" outlineLevel="0" collapsed="false">
      <c r="A260" s="32" t="n">
        <f aca="false">IF(239&gt;$B$6,"",239)</f>
        <v>239</v>
      </c>
      <c r="B260" s="33" t="n">
        <f aca="false">IF($A260="","",EDATE($B$8,239-1))</f>
        <v>53509</v>
      </c>
      <c r="C260" s="34" t="n">
        <f aca="false">IF($B$7="원리금균등",MAX(0,MIN($G$259,ROUND($B$11,0)-$D260)),IF($B$7="원금균등",MIN($G$259,ROUND($B$4/$B$6,0)),IF(239=$B$6,$G$259,0)))</f>
        <v>957913</v>
      </c>
      <c r="D260" s="34" t="n">
        <f aca="false">ROUND($G$259*$B$10,0)</f>
        <v>509139</v>
      </c>
      <c r="E260" s="34" t="n">
        <f aca="false">IF($A260="",0,$C260+$D260)</f>
        <v>1467052</v>
      </c>
      <c r="F260" s="35"/>
      <c r="G260" s="34" t="n">
        <f aca="false">MAX(0,$G$259-$C260-$F260)</f>
        <v>144510479</v>
      </c>
      <c r="H260" s="32" t="str">
        <f aca="false">IF($B260="","",TEXT($B260,"yyyy-mm"))</f>
        <v>2046-07</v>
      </c>
      <c r="I260" s="36" t="n">
        <f aca="false">IF($B$7="원리금균등",MAX(0,MIN($K$259,ROUND($B$11,0)-$J260)),IF($B$7="원금균등",MIN($K$259,ROUND($B$4/$B$6,0)),IF(239=$B$6,$K$259,0)))</f>
        <v>957913</v>
      </c>
      <c r="J260" s="36" t="n">
        <f aca="false">ROUND($K$259*$B$10,0)</f>
        <v>509139</v>
      </c>
      <c r="K260" s="36" t="n">
        <f aca="false">MAX(0,$K$259-$I260)</f>
        <v>144510479</v>
      </c>
    </row>
    <row r="261" customFormat="false" ht="15" hidden="false" customHeight="false" outlineLevel="0" collapsed="false">
      <c r="A261" s="32" t="n">
        <f aca="false">IF(240&gt;$B$6,"",240)</f>
        <v>240</v>
      </c>
      <c r="B261" s="33" t="n">
        <f aca="false">IF($A261="","",EDATE($B$8,240-1))</f>
        <v>53540</v>
      </c>
      <c r="C261" s="34" t="n">
        <f aca="false">IF($B$7="원리금균등",MAX(0,MIN($G$260,ROUND($B$11,0)-$D261)),IF($B$7="원금균등",MIN($G$260,ROUND($B$4/$B$6,0)),IF(240=$B$6,$G$260,0)))</f>
        <v>961265</v>
      </c>
      <c r="D261" s="34" t="n">
        <f aca="false">ROUND($G$260*$B$10,0)</f>
        <v>505787</v>
      </c>
      <c r="E261" s="34" t="n">
        <f aca="false">IF($A261="",0,$C261+$D261)</f>
        <v>1467052</v>
      </c>
      <c r="F261" s="35"/>
      <c r="G261" s="34" t="n">
        <f aca="false">MAX(0,$G$260-$C261-$F261)</f>
        <v>143549214</v>
      </c>
      <c r="H261" s="32" t="str">
        <f aca="false">IF($B261="","",TEXT($B261,"yyyy-mm"))</f>
        <v>2046-08</v>
      </c>
      <c r="I261" s="36" t="n">
        <f aca="false">IF($B$7="원리금균등",MAX(0,MIN($K$260,ROUND($B$11,0)-$J261)),IF($B$7="원금균등",MIN($K$260,ROUND($B$4/$B$6,0)),IF(240=$B$6,$K$260,0)))</f>
        <v>961265</v>
      </c>
      <c r="J261" s="36" t="n">
        <f aca="false">ROUND($K$260*$B$10,0)</f>
        <v>505787</v>
      </c>
      <c r="K261" s="36" t="n">
        <f aca="false">MAX(0,$K$260-$I261)</f>
        <v>143549214</v>
      </c>
    </row>
    <row r="262" customFormat="false" ht="15" hidden="false" customHeight="false" outlineLevel="0" collapsed="false">
      <c r="A262" s="32" t="n">
        <f aca="false">IF(241&gt;$B$6,"",241)</f>
        <v>241</v>
      </c>
      <c r="B262" s="33" t="n">
        <f aca="false">IF($A262="","",EDATE($B$8,241-1))</f>
        <v>53571</v>
      </c>
      <c r="C262" s="34" t="n">
        <f aca="false">IF($B$7="원리금균등",MAX(0,MIN($G$261,ROUND($B$11,0)-$D262)),IF($B$7="원금균등",MIN($G$261,ROUND($B$4/$B$6,0)),IF(241=$B$6,$G$261,0)))</f>
        <v>964630</v>
      </c>
      <c r="D262" s="34" t="n">
        <f aca="false">ROUND($G$261*$B$10,0)</f>
        <v>502422</v>
      </c>
      <c r="E262" s="34" t="n">
        <f aca="false">IF($A262="",0,$C262+$D262)</f>
        <v>1467052</v>
      </c>
      <c r="F262" s="35"/>
      <c r="G262" s="34" t="n">
        <f aca="false">MAX(0,$G$261-$C262-$F262)</f>
        <v>142584584</v>
      </c>
      <c r="H262" s="32" t="str">
        <f aca="false">IF($B262="","",TEXT($B262,"yyyy-mm"))</f>
        <v>2046-09</v>
      </c>
      <c r="I262" s="36" t="n">
        <f aca="false">IF($B$7="원리금균등",MAX(0,MIN($K$261,ROUND($B$11,0)-$J262)),IF($B$7="원금균등",MIN($K$261,ROUND($B$4/$B$6,0)),IF(241=$B$6,$K$261,0)))</f>
        <v>964630</v>
      </c>
      <c r="J262" s="36" t="n">
        <f aca="false">ROUND($K$261*$B$10,0)</f>
        <v>502422</v>
      </c>
      <c r="K262" s="36" t="n">
        <f aca="false">MAX(0,$K$261-$I262)</f>
        <v>142584584</v>
      </c>
    </row>
    <row r="263" customFormat="false" ht="15" hidden="false" customHeight="false" outlineLevel="0" collapsed="false">
      <c r="A263" s="32" t="n">
        <f aca="false">IF(242&gt;$B$6,"",242)</f>
        <v>242</v>
      </c>
      <c r="B263" s="33" t="n">
        <f aca="false">IF($A263="","",EDATE($B$8,242-1))</f>
        <v>53601</v>
      </c>
      <c r="C263" s="34" t="n">
        <f aca="false">IF($B$7="원리금균등",MAX(0,MIN($G$262,ROUND($B$11,0)-$D263)),IF($B$7="원금균등",MIN($G$262,ROUND($B$4/$B$6,0)),IF(242=$B$6,$G$262,0)))</f>
        <v>968006</v>
      </c>
      <c r="D263" s="34" t="n">
        <f aca="false">ROUND($G$262*$B$10,0)</f>
        <v>499046</v>
      </c>
      <c r="E263" s="34" t="n">
        <f aca="false">IF($A263="",0,$C263+$D263)</f>
        <v>1467052</v>
      </c>
      <c r="F263" s="35"/>
      <c r="G263" s="34" t="n">
        <f aca="false">MAX(0,$G$262-$C263-$F263)</f>
        <v>141616578</v>
      </c>
      <c r="H263" s="32" t="str">
        <f aca="false">IF($B263="","",TEXT($B263,"yyyy-mm"))</f>
        <v>2046-10</v>
      </c>
      <c r="I263" s="36" t="n">
        <f aca="false">IF($B$7="원리금균등",MAX(0,MIN($K$262,ROUND($B$11,0)-$J263)),IF($B$7="원금균등",MIN($K$262,ROUND($B$4/$B$6,0)),IF(242=$B$6,$K$262,0)))</f>
        <v>968006</v>
      </c>
      <c r="J263" s="36" t="n">
        <f aca="false">ROUND($K$262*$B$10,0)</f>
        <v>499046</v>
      </c>
      <c r="K263" s="36" t="n">
        <f aca="false">MAX(0,$K$262-$I263)</f>
        <v>141616578</v>
      </c>
    </row>
    <row r="264" customFormat="false" ht="15" hidden="false" customHeight="false" outlineLevel="0" collapsed="false">
      <c r="A264" s="32" t="n">
        <f aca="false">IF(243&gt;$B$6,"",243)</f>
        <v>243</v>
      </c>
      <c r="B264" s="33" t="n">
        <f aca="false">IF($A264="","",EDATE($B$8,243-1))</f>
        <v>53632</v>
      </c>
      <c r="C264" s="34" t="n">
        <f aca="false">IF($B$7="원리금균등",MAX(0,MIN($G$263,ROUND($B$11,0)-$D264)),IF($B$7="원금균등",MIN($G$263,ROUND($B$4/$B$6,0)),IF(243=$B$6,$G$263,0)))</f>
        <v>971394</v>
      </c>
      <c r="D264" s="34" t="n">
        <f aca="false">ROUND($G$263*$B$10,0)</f>
        <v>495658</v>
      </c>
      <c r="E264" s="34" t="n">
        <f aca="false">IF($A264="",0,$C264+$D264)</f>
        <v>1467052</v>
      </c>
      <c r="F264" s="35"/>
      <c r="G264" s="34" t="n">
        <f aca="false">MAX(0,$G$263-$C264-$F264)</f>
        <v>140645184</v>
      </c>
      <c r="H264" s="32" t="str">
        <f aca="false">IF($B264="","",TEXT($B264,"yyyy-mm"))</f>
        <v>2046-11</v>
      </c>
      <c r="I264" s="36" t="n">
        <f aca="false">IF($B$7="원리금균등",MAX(0,MIN($K$263,ROUND($B$11,0)-$J264)),IF($B$7="원금균등",MIN($K$263,ROUND($B$4/$B$6,0)),IF(243=$B$6,$K$263,0)))</f>
        <v>971394</v>
      </c>
      <c r="J264" s="36" t="n">
        <f aca="false">ROUND($K$263*$B$10,0)</f>
        <v>495658</v>
      </c>
      <c r="K264" s="36" t="n">
        <f aca="false">MAX(0,$K$263-$I264)</f>
        <v>140645184</v>
      </c>
    </row>
    <row r="265" customFormat="false" ht="15" hidden="false" customHeight="false" outlineLevel="0" collapsed="false">
      <c r="A265" s="32" t="n">
        <f aca="false">IF(244&gt;$B$6,"",244)</f>
        <v>244</v>
      </c>
      <c r="B265" s="33" t="n">
        <f aca="false">IF($A265="","",EDATE($B$8,244-1))</f>
        <v>53662</v>
      </c>
      <c r="C265" s="34" t="n">
        <f aca="false">IF($B$7="원리금균등",MAX(0,MIN($G$264,ROUND($B$11,0)-$D265)),IF($B$7="원금균등",MIN($G$264,ROUND($B$4/$B$6,0)),IF(244=$B$6,$G$264,0)))</f>
        <v>974794</v>
      </c>
      <c r="D265" s="34" t="n">
        <f aca="false">ROUND($G$264*$B$10,0)</f>
        <v>492258</v>
      </c>
      <c r="E265" s="34" t="n">
        <f aca="false">IF($A265="",0,$C265+$D265)</f>
        <v>1467052</v>
      </c>
      <c r="F265" s="35"/>
      <c r="G265" s="34" t="n">
        <f aca="false">MAX(0,$G$264-$C265-$F265)</f>
        <v>139670390</v>
      </c>
      <c r="H265" s="32" t="str">
        <f aca="false">IF($B265="","",TEXT($B265,"yyyy-mm"))</f>
        <v>2046-12</v>
      </c>
      <c r="I265" s="36" t="n">
        <f aca="false">IF($B$7="원리금균등",MAX(0,MIN($K$264,ROUND($B$11,0)-$J265)),IF($B$7="원금균등",MIN($K$264,ROUND($B$4/$B$6,0)),IF(244=$B$6,$K$264,0)))</f>
        <v>974794</v>
      </c>
      <c r="J265" s="36" t="n">
        <f aca="false">ROUND($K$264*$B$10,0)</f>
        <v>492258</v>
      </c>
      <c r="K265" s="36" t="n">
        <f aca="false">MAX(0,$K$264-$I265)</f>
        <v>139670390</v>
      </c>
    </row>
    <row r="266" customFormat="false" ht="15" hidden="false" customHeight="false" outlineLevel="0" collapsed="false">
      <c r="A266" s="32" t="n">
        <f aca="false">IF(245&gt;$B$6,"",245)</f>
        <v>245</v>
      </c>
      <c r="B266" s="33" t="n">
        <f aca="false">IF($A266="","",EDATE($B$8,245-1))</f>
        <v>53693</v>
      </c>
      <c r="C266" s="34" t="n">
        <f aca="false">IF($B$7="원리금균등",MAX(0,MIN($G$265,ROUND($B$11,0)-$D266)),IF($B$7="원금균등",MIN($G$265,ROUND($B$4/$B$6,0)),IF(245=$B$6,$G$265,0)))</f>
        <v>978206</v>
      </c>
      <c r="D266" s="34" t="n">
        <f aca="false">ROUND($G$265*$B$10,0)</f>
        <v>488846</v>
      </c>
      <c r="E266" s="34" t="n">
        <f aca="false">IF($A266="",0,$C266+$D266)</f>
        <v>1467052</v>
      </c>
      <c r="F266" s="35"/>
      <c r="G266" s="34" t="n">
        <f aca="false">MAX(0,$G$265-$C266-$F266)</f>
        <v>138692184</v>
      </c>
      <c r="H266" s="32" t="str">
        <f aca="false">IF($B266="","",TEXT($B266,"yyyy-mm"))</f>
        <v>2047-01</v>
      </c>
      <c r="I266" s="36" t="n">
        <f aca="false">IF($B$7="원리금균등",MAX(0,MIN($K$265,ROUND($B$11,0)-$J266)),IF($B$7="원금균등",MIN($K$265,ROUND($B$4/$B$6,0)),IF(245=$B$6,$K$265,0)))</f>
        <v>978206</v>
      </c>
      <c r="J266" s="36" t="n">
        <f aca="false">ROUND($K$265*$B$10,0)</f>
        <v>488846</v>
      </c>
      <c r="K266" s="36" t="n">
        <f aca="false">MAX(0,$K$265-$I266)</f>
        <v>138692184</v>
      </c>
    </row>
    <row r="267" customFormat="false" ht="15" hidden="false" customHeight="false" outlineLevel="0" collapsed="false">
      <c r="A267" s="32" t="n">
        <f aca="false">IF(246&gt;$B$6,"",246)</f>
        <v>246</v>
      </c>
      <c r="B267" s="33" t="n">
        <f aca="false">IF($A267="","",EDATE($B$8,246-1))</f>
        <v>53724</v>
      </c>
      <c r="C267" s="34" t="n">
        <f aca="false">IF($B$7="원리금균등",MAX(0,MIN($G$266,ROUND($B$11,0)-$D267)),IF($B$7="원금균등",MIN($G$266,ROUND($B$4/$B$6,0)),IF(246=$B$6,$G$266,0)))</f>
        <v>981629</v>
      </c>
      <c r="D267" s="34" t="n">
        <f aca="false">ROUND($G$266*$B$10,0)</f>
        <v>485423</v>
      </c>
      <c r="E267" s="34" t="n">
        <f aca="false">IF($A267="",0,$C267+$D267)</f>
        <v>1467052</v>
      </c>
      <c r="F267" s="35"/>
      <c r="G267" s="34" t="n">
        <f aca="false">MAX(0,$G$266-$C267-$F267)</f>
        <v>137710555</v>
      </c>
      <c r="H267" s="32" t="str">
        <f aca="false">IF($B267="","",TEXT($B267,"yyyy-mm"))</f>
        <v>2047-02</v>
      </c>
      <c r="I267" s="36" t="n">
        <f aca="false">IF($B$7="원리금균등",MAX(0,MIN($K$266,ROUND($B$11,0)-$J267)),IF($B$7="원금균등",MIN($K$266,ROUND($B$4/$B$6,0)),IF(246=$B$6,$K$266,0)))</f>
        <v>981629</v>
      </c>
      <c r="J267" s="36" t="n">
        <f aca="false">ROUND($K$266*$B$10,0)</f>
        <v>485423</v>
      </c>
      <c r="K267" s="36" t="n">
        <f aca="false">MAX(0,$K$266-$I267)</f>
        <v>137710555</v>
      </c>
    </row>
    <row r="268" customFormat="false" ht="15" hidden="false" customHeight="false" outlineLevel="0" collapsed="false">
      <c r="A268" s="32" t="n">
        <f aca="false">IF(247&gt;$B$6,"",247)</f>
        <v>247</v>
      </c>
      <c r="B268" s="33" t="n">
        <f aca="false">IF($A268="","",EDATE($B$8,247-1))</f>
        <v>53752</v>
      </c>
      <c r="C268" s="34" t="n">
        <f aca="false">IF($B$7="원리금균등",MAX(0,MIN($G$267,ROUND($B$11,0)-$D268)),IF($B$7="원금균등",MIN($G$267,ROUND($B$4/$B$6,0)),IF(247=$B$6,$G$267,0)))</f>
        <v>985065</v>
      </c>
      <c r="D268" s="34" t="n">
        <f aca="false">ROUND($G$267*$B$10,0)</f>
        <v>481987</v>
      </c>
      <c r="E268" s="34" t="n">
        <f aca="false">IF($A268="",0,$C268+$D268)</f>
        <v>1467052</v>
      </c>
      <c r="F268" s="35"/>
      <c r="G268" s="34" t="n">
        <f aca="false">MAX(0,$G$267-$C268-$F268)</f>
        <v>136725490</v>
      </c>
      <c r="H268" s="32" t="str">
        <f aca="false">IF($B268="","",TEXT($B268,"yyyy-mm"))</f>
        <v>2047-03</v>
      </c>
      <c r="I268" s="36" t="n">
        <f aca="false">IF($B$7="원리금균등",MAX(0,MIN($K$267,ROUND($B$11,0)-$J268)),IF($B$7="원금균등",MIN($K$267,ROUND($B$4/$B$6,0)),IF(247=$B$6,$K$267,0)))</f>
        <v>985065</v>
      </c>
      <c r="J268" s="36" t="n">
        <f aca="false">ROUND($K$267*$B$10,0)</f>
        <v>481987</v>
      </c>
      <c r="K268" s="36" t="n">
        <f aca="false">MAX(0,$K$267-$I268)</f>
        <v>136725490</v>
      </c>
    </row>
    <row r="269" customFormat="false" ht="15" hidden="false" customHeight="false" outlineLevel="0" collapsed="false">
      <c r="A269" s="32" t="n">
        <f aca="false">IF(248&gt;$B$6,"",248)</f>
        <v>248</v>
      </c>
      <c r="B269" s="33" t="n">
        <f aca="false">IF($A269="","",EDATE($B$8,248-1))</f>
        <v>53783</v>
      </c>
      <c r="C269" s="34" t="n">
        <f aca="false">IF($B$7="원리금균등",MAX(0,MIN($G$268,ROUND($B$11,0)-$D269)),IF($B$7="원금균등",MIN($G$268,ROUND($B$4/$B$6,0)),IF(248=$B$6,$G$268,0)))</f>
        <v>988513</v>
      </c>
      <c r="D269" s="34" t="n">
        <f aca="false">ROUND($G$268*$B$10,0)</f>
        <v>478539</v>
      </c>
      <c r="E269" s="34" t="n">
        <f aca="false">IF($A269="",0,$C269+$D269)</f>
        <v>1467052</v>
      </c>
      <c r="F269" s="35"/>
      <c r="G269" s="34" t="n">
        <f aca="false">MAX(0,$G$268-$C269-$F269)</f>
        <v>135736977</v>
      </c>
      <c r="H269" s="32" t="str">
        <f aca="false">IF($B269="","",TEXT($B269,"yyyy-mm"))</f>
        <v>2047-04</v>
      </c>
      <c r="I269" s="36" t="n">
        <f aca="false">IF($B$7="원리금균등",MAX(0,MIN($K$268,ROUND($B$11,0)-$J269)),IF($B$7="원금균등",MIN($K$268,ROUND($B$4/$B$6,0)),IF(248=$B$6,$K$268,0)))</f>
        <v>988513</v>
      </c>
      <c r="J269" s="36" t="n">
        <f aca="false">ROUND($K$268*$B$10,0)</f>
        <v>478539</v>
      </c>
      <c r="K269" s="36" t="n">
        <f aca="false">MAX(0,$K$268-$I269)</f>
        <v>135736977</v>
      </c>
    </row>
    <row r="270" customFormat="false" ht="15" hidden="false" customHeight="false" outlineLevel="0" collapsed="false">
      <c r="A270" s="32" t="n">
        <f aca="false">IF(249&gt;$B$6,"",249)</f>
        <v>249</v>
      </c>
      <c r="B270" s="33" t="n">
        <f aca="false">IF($A270="","",EDATE($B$8,249-1))</f>
        <v>53813</v>
      </c>
      <c r="C270" s="34" t="n">
        <f aca="false">IF($B$7="원리금균등",MAX(0,MIN($G$269,ROUND($B$11,0)-$D270)),IF($B$7="원금균등",MIN($G$269,ROUND($B$4/$B$6,0)),IF(249=$B$6,$G$269,0)))</f>
        <v>991973</v>
      </c>
      <c r="D270" s="34" t="n">
        <f aca="false">ROUND($G$269*$B$10,0)</f>
        <v>475079</v>
      </c>
      <c r="E270" s="34" t="n">
        <f aca="false">IF($A270="",0,$C270+$D270)</f>
        <v>1467052</v>
      </c>
      <c r="F270" s="35"/>
      <c r="G270" s="34" t="n">
        <f aca="false">MAX(0,$G$269-$C270-$F270)</f>
        <v>134745004</v>
      </c>
      <c r="H270" s="32" t="str">
        <f aca="false">IF($B270="","",TEXT($B270,"yyyy-mm"))</f>
        <v>2047-05</v>
      </c>
      <c r="I270" s="36" t="n">
        <f aca="false">IF($B$7="원리금균등",MAX(0,MIN($K$269,ROUND($B$11,0)-$J270)),IF($B$7="원금균등",MIN($K$269,ROUND($B$4/$B$6,0)),IF(249=$B$6,$K$269,0)))</f>
        <v>991973</v>
      </c>
      <c r="J270" s="36" t="n">
        <f aca="false">ROUND($K$269*$B$10,0)</f>
        <v>475079</v>
      </c>
      <c r="K270" s="36" t="n">
        <f aca="false">MAX(0,$K$269-$I270)</f>
        <v>134745004</v>
      </c>
    </row>
    <row r="271" customFormat="false" ht="15" hidden="false" customHeight="false" outlineLevel="0" collapsed="false">
      <c r="A271" s="32" t="n">
        <f aca="false">IF(250&gt;$B$6,"",250)</f>
        <v>250</v>
      </c>
      <c r="B271" s="33" t="n">
        <f aca="false">IF($A271="","",EDATE($B$8,250-1))</f>
        <v>53844</v>
      </c>
      <c r="C271" s="34" t="n">
        <f aca="false">IF($B$7="원리금균등",MAX(0,MIN($G$270,ROUND($B$11,0)-$D271)),IF($B$7="원금균등",MIN($G$270,ROUND($B$4/$B$6,0)),IF(250=$B$6,$G$270,0)))</f>
        <v>995444</v>
      </c>
      <c r="D271" s="34" t="n">
        <f aca="false">ROUND($G$270*$B$10,0)</f>
        <v>471608</v>
      </c>
      <c r="E271" s="34" t="n">
        <f aca="false">IF($A271="",0,$C271+$D271)</f>
        <v>1467052</v>
      </c>
      <c r="F271" s="35"/>
      <c r="G271" s="34" t="n">
        <f aca="false">MAX(0,$G$270-$C271-$F271)</f>
        <v>133749560</v>
      </c>
      <c r="H271" s="32" t="str">
        <f aca="false">IF($B271="","",TEXT($B271,"yyyy-mm"))</f>
        <v>2047-06</v>
      </c>
      <c r="I271" s="36" t="n">
        <f aca="false">IF($B$7="원리금균등",MAX(0,MIN($K$270,ROUND($B$11,0)-$J271)),IF($B$7="원금균등",MIN($K$270,ROUND($B$4/$B$6,0)),IF(250=$B$6,$K$270,0)))</f>
        <v>995444</v>
      </c>
      <c r="J271" s="36" t="n">
        <f aca="false">ROUND($K$270*$B$10,0)</f>
        <v>471608</v>
      </c>
      <c r="K271" s="36" t="n">
        <f aca="false">MAX(0,$K$270-$I271)</f>
        <v>133749560</v>
      </c>
    </row>
    <row r="272" customFormat="false" ht="15" hidden="false" customHeight="false" outlineLevel="0" collapsed="false">
      <c r="A272" s="32" t="n">
        <f aca="false">IF(251&gt;$B$6,"",251)</f>
        <v>251</v>
      </c>
      <c r="B272" s="33" t="n">
        <f aca="false">IF($A272="","",EDATE($B$8,251-1))</f>
        <v>53874</v>
      </c>
      <c r="C272" s="34" t="n">
        <f aca="false">IF($B$7="원리금균등",MAX(0,MIN($G$271,ROUND($B$11,0)-$D272)),IF($B$7="원금균등",MIN($G$271,ROUND($B$4/$B$6,0)),IF(251=$B$6,$G$271,0)))</f>
        <v>998929</v>
      </c>
      <c r="D272" s="34" t="n">
        <f aca="false">ROUND($G$271*$B$10,0)</f>
        <v>468123</v>
      </c>
      <c r="E272" s="34" t="n">
        <f aca="false">IF($A272="",0,$C272+$D272)</f>
        <v>1467052</v>
      </c>
      <c r="F272" s="35"/>
      <c r="G272" s="34" t="n">
        <f aca="false">MAX(0,$G$271-$C272-$F272)</f>
        <v>132750631</v>
      </c>
      <c r="H272" s="32" t="str">
        <f aca="false">IF($B272="","",TEXT($B272,"yyyy-mm"))</f>
        <v>2047-07</v>
      </c>
      <c r="I272" s="36" t="n">
        <f aca="false">IF($B$7="원리금균등",MAX(0,MIN($K$271,ROUND($B$11,0)-$J272)),IF($B$7="원금균등",MIN($K$271,ROUND($B$4/$B$6,0)),IF(251=$B$6,$K$271,0)))</f>
        <v>998929</v>
      </c>
      <c r="J272" s="36" t="n">
        <f aca="false">ROUND($K$271*$B$10,0)</f>
        <v>468123</v>
      </c>
      <c r="K272" s="36" t="n">
        <f aca="false">MAX(0,$K$271-$I272)</f>
        <v>132750631</v>
      </c>
    </row>
    <row r="273" customFormat="false" ht="15" hidden="false" customHeight="false" outlineLevel="0" collapsed="false">
      <c r="A273" s="32" t="n">
        <f aca="false">IF(252&gt;$B$6,"",252)</f>
        <v>252</v>
      </c>
      <c r="B273" s="33" t="n">
        <f aca="false">IF($A273="","",EDATE($B$8,252-1))</f>
        <v>53905</v>
      </c>
      <c r="C273" s="34" t="n">
        <f aca="false">IF($B$7="원리금균등",MAX(0,MIN($G$272,ROUND($B$11,0)-$D273)),IF($B$7="원금균등",MIN($G$272,ROUND($B$4/$B$6,0)),IF(252=$B$6,$G$272,0)))</f>
        <v>1002425</v>
      </c>
      <c r="D273" s="34" t="n">
        <f aca="false">ROUND($G$272*$B$10,0)</f>
        <v>464627</v>
      </c>
      <c r="E273" s="34" t="n">
        <f aca="false">IF($A273="",0,$C273+$D273)</f>
        <v>1467052</v>
      </c>
      <c r="F273" s="35"/>
      <c r="G273" s="34" t="n">
        <f aca="false">MAX(0,$G$272-$C273-$F273)</f>
        <v>131748206</v>
      </c>
      <c r="H273" s="32" t="str">
        <f aca="false">IF($B273="","",TEXT($B273,"yyyy-mm"))</f>
        <v>2047-08</v>
      </c>
      <c r="I273" s="36" t="n">
        <f aca="false">IF($B$7="원리금균등",MAX(0,MIN($K$272,ROUND($B$11,0)-$J273)),IF($B$7="원금균등",MIN($K$272,ROUND($B$4/$B$6,0)),IF(252=$B$6,$K$272,0)))</f>
        <v>1002425</v>
      </c>
      <c r="J273" s="36" t="n">
        <f aca="false">ROUND($K$272*$B$10,0)</f>
        <v>464627</v>
      </c>
      <c r="K273" s="36" t="n">
        <f aca="false">MAX(0,$K$272-$I273)</f>
        <v>131748206</v>
      </c>
    </row>
    <row r="274" customFormat="false" ht="15" hidden="false" customHeight="false" outlineLevel="0" collapsed="false">
      <c r="A274" s="32" t="n">
        <f aca="false">IF(253&gt;$B$6,"",253)</f>
        <v>253</v>
      </c>
      <c r="B274" s="33" t="n">
        <f aca="false">IF($A274="","",EDATE($B$8,253-1))</f>
        <v>53936</v>
      </c>
      <c r="C274" s="34" t="n">
        <f aca="false">IF($B$7="원리금균등",MAX(0,MIN($G$273,ROUND($B$11,0)-$D274)),IF($B$7="원금균등",MIN($G$273,ROUND($B$4/$B$6,0)),IF(253=$B$6,$G$273,0)))</f>
        <v>1005933</v>
      </c>
      <c r="D274" s="34" t="n">
        <f aca="false">ROUND($G$273*$B$10,0)</f>
        <v>461119</v>
      </c>
      <c r="E274" s="34" t="n">
        <f aca="false">IF($A274="",0,$C274+$D274)</f>
        <v>1467052</v>
      </c>
      <c r="F274" s="35"/>
      <c r="G274" s="34" t="n">
        <f aca="false">MAX(0,$G$273-$C274-$F274)</f>
        <v>130742273</v>
      </c>
      <c r="H274" s="32" t="str">
        <f aca="false">IF($B274="","",TEXT($B274,"yyyy-mm"))</f>
        <v>2047-09</v>
      </c>
      <c r="I274" s="36" t="n">
        <f aca="false">IF($B$7="원리금균등",MAX(0,MIN($K$273,ROUND($B$11,0)-$J274)),IF($B$7="원금균등",MIN($K$273,ROUND($B$4/$B$6,0)),IF(253=$B$6,$K$273,0)))</f>
        <v>1005933</v>
      </c>
      <c r="J274" s="36" t="n">
        <f aca="false">ROUND($K$273*$B$10,0)</f>
        <v>461119</v>
      </c>
      <c r="K274" s="36" t="n">
        <f aca="false">MAX(0,$K$273-$I274)</f>
        <v>130742273</v>
      </c>
    </row>
    <row r="275" customFormat="false" ht="15" hidden="false" customHeight="false" outlineLevel="0" collapsed="false">
      <c r="A275" s="32" t="n">
        <f aca="false">IF(254&gt;$B$6,"",254)</f>
        <v>254</v>
      </c>
      <c r="B275" s="33" t="n">
        <f aca="false">IF($A275="","",EDATE($B$8,254-1))</f>
        <v>53966</v>
      </c>
      <c r="C275" s="34" t="n">
        <f aca="false">IF($B$7="원리금균등",MAX(0,MIN($G$274,ROUND($B$11,0)-$D275)),IF($B$7="원금균등",MIN($G$274,ROUND($B$4/$B$6,0)),IF(254=$B$6,$G$274,0)))</f>
        <v>1009454</v>
      </c>
      <c r="D275" s="34" t="n">
        <f aca="false">ROUND($G$274*$B$10,0)</f>
        <v>457598</v>
      </c>
      <c r="E275" s="34" t="n">
        <f aca="false">IF($A275="",0,$C275+$D275)</f>
        <v>1467052</v>
      </c>
      <c r="F275" s="35"/>
      <c r="G275" s="34" t="n">
        <f aca="false">MAX(0,$G$274-$C275-$F275)</f>
        <v>129732819</v>
      </c>
      <c r="H275" s="32" t="str">
        <f aca="false">IF($B275="","",TEXT($B275,"yyyy-mm"))</f>
        <v>2047-10</v>
      </c>
      <c r="I275" s="36" t="n">
        <f aca="false">IF($B$7="원리금균등",MAX(0,MIN($K$274,ROUND($B$11,0)-$J275)),IF($B$7="원금균등",MIN($K$274,ROUND($B$4/$B$6,0)),IF(254=$B$6,$K$274,0)))</f>
        <v>1009454</v>
      </c>
      <c r="J275" s="36" t="n">
        <f aca="false">ROUND($K$274*$B$10,0)</f>
        <v>457598</v>
      </c>
      <c r="K275" s="36" t="n">
        <f aca="false">MAX(0,$K$274-$I275)</f>
        <v>129732819</v>
      </c>
    </row>
    <row r="276" customFormat="false" ht="15" hidden="false" customHeight="false" outlineLevel="0" collapsed="false">
      <c r="A276" s="32" t="n">
        <f aca="false">IF(255&gt;$B$6,"",255)</f>
        <v>255</v>
      </c>
      <c r="B276" s="33" t="n">
        <f aca="false">IF($A276="","",EDATE($B$8,255-1))</f>
        <v>53997</v>
      </c>
      <c r="C276" s="34" t="n">
        <f aca="false">IF($B$7="원리금균등",MAX(0,MIN($G$275,ROUND($B$11,0)-$D276)),IF($B$7="원금균등",MIN($G$275,ROUND($B$4/$B$6,0)),IF(255=$B$6,$G$275,0)))</f>
        <v>1012987</v>
      </c>
      <c r="D276" s="34" t="n">
        <f aca="false">ROUND($G$275*$B$10,0)</f>
        <v>454065</v>
      </c>
      <c r="E276" s="34" t="n">
        <f aca="false">IF($A276="",0,$C276+$D276)</f>
        <v>1467052</v>
      </c>
      <c r="F276" s="35"/>
      <c r="G276" s="34" t="n">
        <f aca="false">MAX(0,$G$275-$C276-$F276)</f>
        <v>128719832</v>
      </c>
      <c r="H276" s="32" t="str">
        <f aca="false">IF($B276="","",TEXT($B276,"yyyy-mm"))</f>
        <v>2047-11</v>
      </c>
      <c r="I276" s="36" t="n">
        <f aca="false">IF($B$7="원리금균등",MAX(0,MIN($K$275,ROUND($B$11,0)-$J276)),IF($B$7="원금균등",MIN($K$275,ROUND($B$4/$B$6,0)),IF(255=$B$6,$K$275,0)))</f>
        <v>1012987</v>
      </c>
      <c r="J276" s="36" t="n">
        <f aca="false">ROUND($K$275*$B$10,0)</f>
        <v>454065</v>
      </c>
      <c r="K276" s="36" t="n">
        <f aca="false">MAX(0,$K$275-$I276)</f>
        <v>128719832</v>
      </c>
    </row>
    <row r="277" customFormat="false" ht="15" hidden="false" customHeight="false" outlineLevel="0" collapsed="false">
      <c r="A277" s="32" t="n">
        <f aca="false">IF(256&gt;$B$6,"",256)</f>
        <v>256</v>
      </c>
      <c r="B277" s="33" t="n">
        <f aca="false">IF($A277="","",EDATE($B$8,256-1))</f>
        <v>54027</v>
      </c>
      <c r="C277" s="34" t="n">
        <f aca="false">IF($B$7="원리금균등",MAX(0,MIN($G$276,ROUND($B$11,0)-$D277)),IF($B$7="원금균등",MIN($G$276,ROUND($B$4/$B$6,0)),IF(256=$B$6,$G$276,0)))</f>
        <v>1016533</v>
      </c>
      <c r="D277" s="34" t="n">
        <f aca="false">ROUND($G$276*$B$10,0)</f>
        <v>450519</v>
      </c>
      <c r="E277" s="34" t="n">
        <f aca="false">IF($A277="",0,$C277+$D277)</f>
        <v>1467052</v>
      </c>
      <c r="F277" s="35"/>
      <c r="G277" s="34" t="n">
        <f aca="false">MAX(0,$G$276-$C277-$F277)</f>
        <v>127703299</v>
      </c>
      <c r="H277" s="32" t="str">
        <f aca="false">IF($B277="","",TEXT($B277,"yyyy-mm"))</f>
        <v>2047-12</v>
      </c>
      <c r="I277" s="36" t="n">
        <f aca="false">IF($B$7="원리금균등",MAX(0,MIN($K$276,ROUND($B$11,0)-$J277)),IF($B$7="원금균등",MIN($K$276,ROUND($B$4/$B$6,0)),IF(256=$B$6,$K$276,0)))</f>
        <v>1016533</v>
      </c>
      <c r="J277" s="36" t="n">
        <f aca="false">ROUND($K$276*$B$10,0)</f>
        <v>450519</v>
      </c>
      <c r="K277" s="36" t="n">
        <f aca="false">MAX(0,$K$276-$I277)</f>
        <v>127703299</v>
      </c>
    </row>
    <row r="278" customFormat="false" ht="15" hidden="false" customHeight="false" outlineLevel="0" collapsed="false">
      <c r="A278" s="32" t="n">
        <f aca="false">IF(257&gt;$B$6,"",257)</f>
        <v>257</v>
      </c>
      <c r="B278" s="33" t="n">
        <f aca="false">IF($A278="","",EDATE($B$8,257-1))</f>
        <v>54058</v>
      </c>
      <c r="C278" s="34" t="n">
        <f aca="false">IF($B$7="원리금균등",MAX(0,MIN($G$277,ROUND($B$11,0)-$D278)),IF($B$7="원금균등",MIN($G$277,ROUND($B$4/$B$6,0)),IF(257=$B$6,$G$277,0)))</f>
        <v>1020090</v>
      </c>
      <c r="D278" s="34" t="n">
        <f aca="false">ROUND($G$277*$B$10,0)</f>
        <v>446962</v>
      </c>
      <c r="E278" s="34" t="n">
        <f aca="false">IF($A278="",0,$C278+$D278)</f>
        <v>1467052</v>
      </c>
      <c r="F278" s="35"/>
      <c r="G278" s="34" t="n">
        <f aca="false">MAX(0,$G$277-$C278-$F278)</f>
        <v>126683209</v>
      </c>
      <c r="H278" s="32" t="str">
        <f aca="false">IF($B278="","",TEXT($B278,"yyyy-mm"))</f>
        <v>2048-01</v>
      </c>
      <c r="I278" s="36" t="n">
        <f aca="false">IF($B$7="원리금균등",MAX(0,MIN($K$277,ROUND($B$11,0)-$J278)),IF($B$7="원금균등",MIN($K$277,ROUND($B$4/$B$6,0)),IF(257=$B$6,$K$277,0)))</f>
        <v>1020090</v>
      </c>
      <c r="J278" s="36" t="n">
        <f aca="false">ROUND($K$277*$B$10,0)</f>
        <v>446962</v>
      </c>
      <c r="K278" s="36" t="n">
        <f aca="false">MAX(0,$K$277-$I278)</f>
        <v>126683209</v>
      </c>
    </row>
    <row r="279" customFormat="false" ht="15" hidden="false" customHeight="false" outlineLevel="0" collapsed="false">
      <c r="A279" s="32" t="n">
        <f aca="false">IF(258&gt;$B$6,"",258)</f>
        <v>258</v>
      </c>
      <c r="B279" s="33" t="n">
        <f aca="false">IF($A279="","",EDATE($B$8,258-1))</f>
        <v>54089</v>
      </c>
      <c r="C279" s="34" t="n">
        <f aca="false">IF($B$7="원리금균등",MAX(0,MIN($G$278,ROUND($B$11,0)-$D279)),IF($B$7="원금균등",MIN($G$278,ROUND($B$4/$B$6,0)),IF(258=$B$6,$G$278,0)))</f>
        <v>1023661</v>
      </c>
      <c r="D279" s="34" t="n">
        <f aca="false">ROUND($G$278*$B$10,0)</f>
        <v>443391</v>
      </c>
      <c r="E279" s="34" t="n">
        <f aca="false">IF($A279="",0,$C279+$D279)</f>
        <v>1467052</v>
      </c>
      <c r="F279" s="35"/>
      <c r="G279" s="34" t="n">
        <f aca="false">MAX(0,$G$278-$C279-$F279)</f>
        <v>125659548</v>
      </c>
      <c r="H279" s="32" t="str">
        <f aca="false">IF($B279="","",TEXT($B279,"yyyy-mm"))</f>
        <v>2048-02</v>
      </c>
      <c r="I279" s="36" t="n">
        <f aca="false">IF($B$7="원리금균등",MAX(0,MIN($K$278,ROUND($B$11,0)-$J279)),IF($B$7="원금균등",MIN($K$278,ROUND($B$4/$B$6,0)),IF(258=$B$6,$K$278,0)))</f>
        <v>1023661</v>
      </c>
      <c r="J279" s="36" t="n">
        <f aca="false">ROUND($K$278*$B$10,0)</f>
        <v>443391</v>
      </c>
      <c r="K279" s="36" t="n">
        <f aca="false">MAX(0,$K$278-$I279)</f>
        <v>125659548</v>
      </c>
    </row>
    <row r="280" customFormat="false" ht="15" hidden="false" customHeight="false" outlineLevel="0" collapsed="false">
      <c r="A280" s="32" t="n">
        <f aca="false">IF(259&gt;$B$6,"",259)</f>
        <v>259</v>
      </c>
      <c r="B280" s="33" t="n">
        <f aca="false">IF($A280="","",EDATE($B$8,259-1))</f>
        <v>54118</v>
      </c>
      <c r="C280" s="34" t="n">
        <f aca="false">IF($B$7="원리금균등",MAX(0,MIN($G$279,ROUND($B$11,0)-$D280)),IF($B$7="원금균등",MIN($G$279,ROUND($B$4/$B$6,0)),IF(259=$B$6,$G$279,0)))</f>
        <v>1027244</v>
      </c>
      <c r="D280" s="34" t="n">
        <f aca="false">ROUND($G$279*$B$10,0)</f>
        <v>439808</v>
      </c>
      <c r="E280" s="34" t="n">
        <f aca="false">IF($A280="",0,$C280+$D280)</f>
        <v>1467052</v>
      </c>
      <c r="F280" s="35"/>
      <c r="G280" s="34" t="n">
        <f aca="false">MAX(0,$G$279-$C280-$F280)</f>
        <v>124632304</v>
      </c>
      <c r="H280" s="32" t="str">
        <f aca="false">IF($B280="","",TEXT($B280,"yyyy-mm"))</f>
        <v>2048-03</v>
      </c>
      <c r="I280" s="36" t="n">
        <f aca="false">IF($B$7="원리금균등",MAX(0,MIN($K$279,ROUND($B$11,0)-$J280)),IF($B$7="원금균등",MIN($K$279,ROUND($B$4/$B$6,0)),IF(259=$B$6,$K$279,0)))</f>
        <v>1027244</v>
      </c>
      <c r="J280" s="36" t="n">
        <f aca="false">ROUND($K$279*$B$10,0)</f>
        <v>439808</v>
      </c>
      <c r="K280" s="36" t="n">
        <f aca="false">MAX(0,$K$279-$I280)</f>
        <v>124632304</v>
      </c>
    </row>
    <row r="281" customFormat="false" ht="15" hidden="false" customHeight="false" outlineLevel="0" collapsed="false">
      <c r="A281" s="32" t="n">
        <f aca="false">IF(260&gt;$B$6,"",260)</f>
        <v>260</v>
      </c>
      <c r="B281" s="33" t="n">
        <f aca="false">IF($A281="","",EDATE($B$8,260-1))</f>
        <v>54149</v>
      </c>
      <c r="C281" s="34" t="n">
        <f aca="false">IF($B$7="원리금균등",MAX(0,MIN($G$280,ROUND($B$11,0)-$D281)),IF($B$7="원금균등",MIN($G$280,ROUND($B$4/$B$6,0)),IF(260=$B$6,$G$280,0)))</f>
        <v>1030839</v>
      </c>
      <c r="D281" s="34" t="n">
        <f aca="false">ROUND($G$280*$B$10,0)</f>
        <v>436213</v>
      </c>
      <c r="E281" s="34" t="n">
        <f aca="false">IF($A281="",0,$C281+$D281)</f>
        <v>1467052</v>
      </c>
      <c r="F281" s="35"/>
      <c r="G281" s="34" t="n">
        <f aca="false">MAX(0,$G$280-$C281-$F281)</f>
        <v>123601465</v>
      </c>
      <c r="H281" s="32" t="str">
        <f aca="false">IF($B281="","",TEXT($B281,"yyyy-mm"))</f>
        <v>2048-04</v>
      </c>
      <c r="I281" s="36" t="n">
        <f aca="false">IF($B$7="원리금균등",MAX(0,MIN($K$280,ROUND($B$11,0)-$J281)),IF($B$7="원금균등",MIN($K$280,ROUND($B$4/$B$6,0)),IF(260=$B$6,$K$280,0)))</f>
        <v>1030839</v>
      </c>
      <c r="J281" s="36" t="n">
        <f aca="false">ROUND($K$280*$B$10,0)</f>
        <v>436213</v>
      </c>
      <c r="K281" s="36" t="n">
        <f aca="false">MAX(0,$K$280-$I281)</f>
        <v>123601465</v>
      </c>
    </row>
    <row r="282" customFormat="false" ht="15" hidden="false" customHeight="false" outlineLevel="0" collapsed="false">
      <c r="A282" s="32" t="n">
        <f aca="false">IF(261&gt;$B$6,"",261)</f>
        <v>261</v>
      </c>
      <c r="B282" s="33" t="n">
        <f aca="false">IF($A282="","",EDATE($B$8,261-1))</f>
        <v>54179</v>
      </c>
      <c r="C282" s="34" t="n">
        <f aca="false">IF($B$7="원리금균등",MAX(0,MIN($G$281,ROUND($B$11,0)-$D282)),IF($B$7="원금균등",MIN($G$281,ROUND($B$4/$B$6,0)),IF(261=$B$6,$G$281,0)))</f>
        <v>1034447</v>
      </c>
      <c r="D282" s="34" t="n">
        <f aca="false">ROUND($G$281*$B$10,0)</f>
        <v>432605</v>
      </c>
      <c r="E282" s="34" t="n">
        <f aca="false">IF($A282="",0,$C282+$D282)</f>
        <v>1467052</v>
      </c>
      <c r="F282" s="35"/>
      <c r="G282" s="34" t="n">
        <f aca="false">MAX(0,$G$281-$C282-$F282)</f>
        <v>122567018</v>
      </c>
      <c r="H282" s="32" t="str">
        <f aca="false">IF($B282="","",TEXT($B282,"yyyy-mm"))</f>
        <v>2048-05</v>
      </c>
      <c r="I282" s="36" t="n">
        <f aca="false">IF($B$7="원리금균등",MAX(0,MIN($K$281,ROUND($B$11,0)-$J282)),IF($B$7="원금균등",MIN($K$281,ROUND($B$4/$B$6,0)),IF(261=$B$6,$K$281,0)))</f>
        <v>1034447</v>
      </c>
      <c r="J282" s="36" t="n">
        <f aca="false">ROUND($K$281*$B$10,0)</f>
        <v>432605</v>
      </c>
      <c r="K282" s="36" t="n">
        <f aca="false">MAX(0,$K$281-$I282)</f>
        <v>122567018</v>
      </c>
    </row>
    <row r="283" customFormat="false" ht="15" hidden="false" customHeight="false" outlineLevel="0" collapsed="false">
      <c r="A283" s="32" t="n">
        <f aca="false">IF(262&gt;$B$6,"",262)</f>
        <v>262</v>
      </c>
      <c r="B283" s="33" t="n">
        <f aca="false">IF($A283="","",EDATE($B$8,262-1))</f>
        <v>54210</v>
      </c>
      <c r="C283" s="34" t="n">
        <f aca="false">IF($B$7="원리금균등",MAX(0,MIN($G$282,ROUND($B$11,0)-$D283)),IF($B$7="원금균등",MIN($G$282,ROUND($B$4/$B$6,0)),IF(262=$B$6,$G$282,0)))</f>
        <v>1038067</v>
      </c>
      <c r="D283" s="34" t="n">
        <f aca="false">ROUND($G$282*$B$10,0)</f>
        <v>428985</v>
      </c>
      <c r="E283" s="34" t="n">
        <f aca="false">IF($A283="",0,$C283+$D283)</f>
        <v>1467052</v>
      </c>
      <c r="F283" s="35"/>
      <c r="G283" s="34" t="n">
        <f aca="false">MAX(0,$G$282-$C283-$F283)</f>
        <v>121528951</v>
      </c>
      <c r="H283" s="32" t="str">
        <f aca="false">IF($B283="","",TEXT($B283,"yyyy-mm"))</f>
        <v>2048-06</v>
      </c>
      <c r="I283" s="36" t="n">
        <f aca="false">IF($B$7="원리금균등",MAX(0,MIN($K$282,ROUND($B$11,0)-$J283)),IF($B$7="원금균등",MIN($K$282,ROUND($B$4/$B$6,0)),IF(262=$B$6,$K$282,0)))</f>
        <v>1038067</v>
      </c>
      <c r="J283" s="36" t="n">
        <f aca="false">ROUND($K$282*$B$10,0)</f>
        <v>428985</v>
      </c>
      <c r="K283" s="36" t="n">
        <f aca="false">MAX(0,$K$282-$I283)</f>
        <v>121528951</v>
      </c>
    </row>
    <row r="284" customFormat="false" ht="15" hidden="false" customHeight="false" outlineLevel="0" collapsed="false">
      <c r="A284" s="32" t="n">
        <f aca="false">IF(263&gt;$B$6,"",263)</f>
        <v>263</v>
      </c>
      <c r="B284" s="33" t="n">
        <f aca="false">IF($A284="","",EDATE($B$8,263-1))</f>
        <v>54240</v>
      </c>
      <c r="C284" s="34" t="n">
        <f aca="false">IF($B$7="원리금균등",MAX(0,MIN($G$283,ROUND($B$11,0)-$D284)),IF($B$7="원금균등",MIN($G$283,ROUND($B$4/$B$6,0)),IF(263=$B$6,$G$283,0)))</f>
        <v>1041701</v>
      </c>
      <c r="D284" s="34" t="n">
        <f aca="false">ROUND($G$283*$B$10,0)</f>
        <v>425351</v>
      </c>
      <c r="E284" s="34" t="n">
        <f aca="false">IF($A284="",0,$C284+$D284)</f>
        <v>1467052</v>
      </c>
      <c r="F284" s="35"/>
      <c r="G284" s="34" t="n">
        <f aca="false">MAX(0,$G$283-$C284-$F284)</f>
        <v>120487250</v>
      </c>
      <c r="H284" s="32" t="str">
        <f aca="false">IF($B284="","",TEXT($B284,"yyyy-mm"))</f>
        <v>2048-07</v>
      </c>
      <c r="I284" s="36" t="n">
        <f aca="false">IF($B$7="원리금균등",MAX(0,MIN($K$283,ROUND($B$11,0)-$J284)),IF($B$7="원금균등",MIN($K$283,ROUND($B$4/$B$6,0)),IF(263=$B$6,$K$283,0)))</f>
        <v>1041701</v>
      </c>
      <c r="J284" s="36" t="n">
        <f aca="false">ROUND($K$283*$B$10,0)</f>
        <v>425351</v>
      </c>
      <c r="K284" s="36" t="n">
        <f aca="false">MAX(0,$K$283-$I284)</f>
        <v>120487250</v>
      </c>
    </row>
    <row r="285" customFormat="false" ht="15" hidden="false" customHeight="false" outlineLevel="0" collapsed="false">
      <c r="A285" s="32" t="n">
        <f aca="false">IF(264&gt;$B$6,"",264)</f>
        <v>264</v>
      </c>
      <c r="B285" s="33" t="n">
        <f aca="false">IF($A285="","",EDATE($B$8,264-1))</f>
        <v>54271</v>
      </c>
      <c r="C285" s="34" t="n">
        <f aca="false">IF($B$7="원리금균등",MAX(0,MIN($G$284,ROUND($B$11,0)-$D285)),IF($B$7="원금균등",MIN($G$284,ROUND($B$4/$B$6,0)),IF(264=$B$6,$G$284,0)))</f>
        <v>1045347</v>
      </c>
      <c r="D285" s="34" t="n">
        <f aca="false">ROUND($G$284*$B$10,0)</f>
        <v>421705</v>
      </c>
      <c r="E285" s="34" t="n">
        <f aca="false">IF($A285="",0,$C285+$D285)</f>
        <v>1467052</v>
      </c>
      <c r="F285" s="35"/>
      <c r="G285" s="34" t="n">
        <f aca="false">MAX(0,$G$284-$C285-$F285)</f>
        <v>119441903</v>
      </c>
      <c r="H285" s="32" t="str">
        <f aca="false">IF($B285="","",TEXT($B285,"yyyy-mm"))</f>
        <v>2048-08</v>
      </c>
      <c r="I285" s="36" t="n">
        <f aca="false">IF($B$7="원리금균등",MAX(0,MIN($K$284,ROUND($B$11,0)-$J285)),IF($B$7="원금균등",MIN($K$284,ROUND($B$4/$B$6,0)),IF(264=$B$6,$K$284,0)))</f>
        <v>1045347</v>
      </c>
      <c r="J285" s="36" t="n">
        <f aca="false">ROUND($K$284*$B$10,0)</f>
        <v>421705</v>
      </c>
      <c r="K285" s="36" t="n">
        <f aca="false">MAX(0,$K$284-$I285)</f>
        <v>119441903</v>
      </c>
    </row>
    <row r="286" customFormat="false" ht="15" hidden="false" customHeight="false" outlineLevel="0" collapsed="false">
      <c r="A286" s="32" t="n">
        <f aca="false">IF(265&gt;$B$6,"",265)</f>
        <v>265</v>
      </c>
      <c r="B286" s="33" t="n">
        <f aca="false">IF($A286="","",EDATE($B$8,265-1))</f>
        <v>54302</v>
      </c>
      <c r="C286" s="34" t="n">
        <f aca="false">IF($B$7="원리금균등",MAX(0,MIN($G$285,ROUND($B$11,0)-$D286)),IF($B$7="원금균등",MIN($G$285,ROUND($B$4/$B$6,0)),IF(265=$B$6,$G$285,0)))</f>
        <v>1049005</v>
      </c>
      <c r="D286" s="34" t="n">
        <f aca="false">ROUND($G$285*$B$10,0)</f>
        <v>418047</v>
      </c>
      <c r="E286" s="34" t="n">
        <f aca="false">IF($A286="",0,$C286+$D286)</f>
        <v>1467052</v>
      </c>
      <c r="F286" s="35"/>
      <c r="G286" s="34" t="n">
        <f aca="false">MAX(0,$G$285-$C286-$F286)</f>
        <v>118392898</v>
      </c>
      <c r="H286" s="32" t="str">
        <f aca="false">IF($B286="","",TEXT($B286,"yyyy-mm"))</f>
        <v>2048-09</v>
      </c>
      <c r="I286" s="36" t="n">
        <f aca="false">IF($B$7="원리금균등",MAX(0,MIN($K$285,ROUND($B$11,0)-$J286)),IF($B$7="원금균등",MIN($K$285,ROUND($B$4/$B$6,0)),IF(265=$B$6,$K$285,0)))</f>
        <v>1049005</v>
      </c>
      <c r="J286" s="36" t="n">
        <f aca="false">ROUND($K$285*$B$10,0)</f>
        <v>418047</v>
      </c>
      <c r="K286" s="36" t="n">
        <f aca="false">MAX(0,$K$285-$I286)</f>
        <v>118392898</v>
      </c>
    </row>
    <row r="287" customFormat="false" ht="15" hidden="false" customHeight="false" outlineLevel="0" collapsed="false">
      <c r="A287" s="32" t="n">
        <f aca="false">IF(266&gt;$B$6,"",266)</f>
        <v>266</v>
      </c>
      <c r="B287" s="33" t="n">
        <f aca="false">IF($A287="","",EDATE($B$8,266-1))</f>
        <v>54332</v>
      </c>
      <c r="C287" s="34" t="n">
        <f aca="false">IF($B$7="원리금균등",MAX(0,MIN($G$286,ROUND($B$11,0)-$D287)),IF($B$7="원금균등",MIN($G$286,ROUND($B$4/$B$6,0)),IF(266=$B$6,$G$286,0)))</f>
        <v>1052677</v>
      </c>
      <c r="D287" s="34" t="n">
        <f aca="false">ROUND($G$286*$B$10,0)</f>
        <v>414375</v>
      </c>
      <c r="E287" s="34" t="n">
        <f aca="false">IF($A287="",0,$C287+$D287)</f>
        <v>1467052</v>
      </c>
      <c r="F287" s="35"/>
      <c r="G287" s="34" t="n">
        <f aca="false">MAX(0,$G$286-$C287-$F287)</f>
        <v>117340221</v>
      </c>
      <c r="H287" s="32" t="str">
        <f aca="false">IF($B287="","",TEXT($B287,"yyyy-mm"))</f>
        <v>2048-10</v>
      </c>
      <c r="I287" s="36" t="n">
        <f aca="false">IF($B$7="원리금균등",MAX(0,MIN($K$286,ROUND($B$11,0)-$J287)),IF($B$7="원금균등",MIN($K$286,ROUND($B$4/$B$6,0)),IF(266=$B$6,$K$286,0)))</f>
        <v>1052677</v>
      </c>
      <c r="J287" s="36" t="n">
        <f aca="false">ROUND($K$286*$B$10,0)</f>
        <v>414375</v>
      </c>
      <c r="K287" s="36" t="n">
        <f aca="false">MAX(0,$K$286-$I287)</f>
        <v>117340221</v>
      </c>
    </row>
    <row r="288" customFormat="false" ht="15" hidden="false" customHeight="false" outlineLevel="0" collapsed="false">
      <c r="A288" s="32" t="n">
        <f aca="false">IF(267&gt;$B$6,"",267)</f>
        <v>267</v>
      </c>
      <c r="B288" s="33" t="n">
        <f aca="false">IF($A288="","",EDATE($B$8,267-1))</f>
        <v>54363</v>
      </c>
      <c r="C288" s="34" t="n">
        <f aca="false">IF($B$7="원리금균등",MAX(0,MIN($G$287,ROUND($B$11,0)-$D288)),IF($B$7="원금균등",MIN($G$287,ROUND($B$4/$B$6,0)),IF(267=$B$6,$G$287,0)))</f>
        <v>1056361</v>
      </c>
      <c r="D288" s="34" t="n">
        <f aca="false">ROUND($G$287*$B$10,0)</f>
        <v>410691</v>
      </c>
      <c r="E288" s="34" t="n">
        <f aca="false">IF($A288="",0,$C288+$D288)</f>
        <v>1467052</v>
      </c>
      <c r="F288" s="35"/>
      <c r="G288" s="34" t="n">
        <f aca="false">MAX(0,$G$287-$C288-$F288)</f>
        <v>116283860</v>
      </c>
      <c r="H288" s="32" t="str">
        <f aca="false">IF($B288="","",TEXT($B288,"yyyy-mm"))</f>
        <v>2048-11</v>
      </c>
      <c r="I288" s="36" t="n">
        <f aca="false">IF($B$7="원리금균등",MAX(0,MIN($K$287,ROUND($B$11,0)-$J288)),IF($B$7="원금균등",MIN($K$287,ROUND($B$4/$B$6,0)),IF(267=$B$6,$K$287,0)))</f>
        <v>1056361</v>
      </c>
      <c r="J288" s="36" t="n">
        <f aca="false">ROUND($K$287*$B$10,0)</f>
        <v>410691</v>
      </c>
      <c r="K288" s="36" t="n">
        <f aca="false">MAX(0,$K$287-$I288)</f>
        <v>116283860</v>
      </c>
    </row>
    <row r="289" customFormat="false" ht="15" hidden="false" customHeight="false" outlineLevel="0" collapsed="false">
      <c r="A289" s="32" t="n">
        <f aca="false">IF(268&gt;$B$6,"",268)</f>
        <v>268</v>
      </c>
      <c r="B289" s="33" t="n">
        <f aca="false">IF($A289="","",EDATE($B$8,268-1))</f>
        <v>54393</v>
      </c>
      <c r="C289" s="34" t="n">
        <f aca="false">IF($B$7="원리금균등",MAX(0,MIN($G$288,ROUND($B$11,0)-$D289)),IF($B$7="원금균등",MIN($G$288,ROUND($B$4/$B$6,0)),IF(268=$B$6,$G$288,0)))</f>
        <v>1060058</v>
      </c>
      <c r="D289" s="34" t="n">
        <f aca="false">ROUND($G$288*$B$10,0)</f>
        <v>406994</v>
      </c>
      <c r="E289" s="34" t="n">
        <f aca="false">IF($A289="",0,$C289+$D289)</f>
        <v>1467052</v>
      </c>
      <c r="F289" s="35"/>
      <c r="G289" s="34" t="n">
        <f aca="false">MAX(0,$G$288-$C289-$F289)</f>
        <v>115223802</v>
      </c>
      <c r="H289" s="32" t="str">
        <f aca="false">IF($B289="","",TEXT($B289,"yyyy-mm"))</f>
        <v>2048-12</v>
      </c>
      <c r="I289" s="36" t="n">
        <f aca="false">IF($B$7="원리금균등",MAX(0,MIN($K$288,ROUND($B$11,0)-$J289)),IF($B$7="원금균등",MIN($K$288,ROUND($B$4/$B$6,0)),IF(268=$B$6,$K$288,0)))</f>
        <v>1060058</v>
      </c>
      <c r="J289" s="36" t="n">
        <f aca="false">ROUND($K$288*$B$10,0)</f>
        <v>406994</v>
      </c>
      <c r="K289" s="36" t="n">
        <f aca="false">MAX(0,$K$288-$I289)</f>
        <v>115223802</v>
      </c>
    </row>
    <row r="290" customFormat="false" ht="15" hidden="false" customHeight="false" outlineLevel="0" collapsed="false">
      <c r="A290" s="32" t="n">
        <f aca="false">IF(269&gt;$B$6,"",269)</f>
        <v>269</v>
      </c>
      <c r="B290" s="33" t="n">
        <f aca="false">IF($A290="","",EDATE($B$8,269-1))</f>
        <v>54424</v>
      </c>
      <c r="C290" s="34" t="n">
        <f aca="false">IF($B$7="원리금균등",MAX(0,MIN($G$289,ROUND($B$11,0)-$D290)),IF($B$7="원금균등",MIN($G$289,ROUND($B$4/$B$6,0)),IF(269=$B$6,$G$289,0)))</f>
        <v>1063769</v>
      </c>
      <c r="D290" s="34" t="n">
        <f aca="false">ROUND($G$289*$B$10,0)</f>
        <v>403283</v>
      </c>
      <c r="E290" s="34" t="n">
        <f aca="false">IF($A290="",0,$C290+$D290)</f>
        <v>1467052</v>
      </c>
      <c r="F290" s="35"/>
      <c r="G290" s="34" t="n">
        <f aca="false">MAX(0,$G$289-$C290-$F290)</f>
        <v>114160033</v>
      </c>
      <c r="H290" s="32" t="str">
        <f aca="false">IF($B290="","",TEXT($B290,"yyyy-mm"))</f>
        <v>2049-01</v>
      </c>
      <c r="I290" s="36" t="n">
        <f aca="false">IF($B$7="원리금균등",MAX(0,MIN($K$289,ROUND($B$11,0)-$J290)),IF($B$7="원금균등",MIN($K$289,ROUND($B$4/$B$6,0)),IF(269=$B$6,$K$289,0)))</f>
        <v>1063769</v>
      </c>
      <c r="J290" s="36" t="n">
        <f aca="false">ROUND($K$289*$B$10,0)</f>
        <v>403283</v>
      </c>
      <c r="K290" s="36" t="n">
        <f aca="false">MAX(0,$K$289-$I290)</f>
        <v>114160033</v>
      </c>
    </row>
    <row r="291" customFormat="false" ht="15" hidden="false" customHeight="false" outlineLevel="0" collapsed="false">
      <c r="A291" s="32" t="n">
        <f aca="false">IF(270&gt;$B$6,"",270)</f>
        <v>270</v>
      </c>
      <c r="B291" s="33" t="n">
        <f aca="false">IF($A291="","",EDATE($B$8,270-1))</f>
        <v>54455</v>
      </c>
      <c r="C291" s="34" t="n">
        <f aca="false">IF($B$7="원리금균등",MAX(0,MIN($G$290,ROUND($B$11,0)-$D291)),IF($B$7="원금균등",MIN($G$290,ROUND($B$4/$B$6,0)),IF(270=$B$6,$G$290,0)))</f>
        <v>1067492</v>
      </c>
      <c r="D291" s="34" t="n">
        <f aca="false">ROUND($G$290*$B$10,0)</f>
        <v>399560</v>
      </c>
      <c r="E291" s="34" t="n">
        <f aca="false">IF($A291="",0,$C291+$D291)</f>
        <v>1467052</v>
      </c>
      <c r="F291" s="35"/>
      <c r="G291" s="34" t="n">
        <f aca="false">MAX(0,$G$290-$C291-$F291)</f>
        <v>113092541</v>
      </c>
      <c r="H291" s="32" t="str">
        <f aca="false">IF($B291="","",TEXT($B291,"yyyy-mm"))</f>
        <v>2049-02</v>
      </c>
      <c r="I291" s="36" t="n">
        <f aca="false">IF($B$7="원리금균등",MAX(0,MIN($K$290,ROUND($B$11,0)-$J291)),IF($B$7="원금균등",MIN($K$290,ROUND($B$4/$B$6,0)),IF(270=$B$6,$K$290,0)))</f>
        <v>1067492</v>
      </c>
      <c r="J291" s="36" t="n">
        <f aca="false">ROUND($K$290*$B$10,0)</f>
        <v>399560</v>
      </c>
      <c r="K291" s="36" t="n">
        <f aca="false">MAX(0,$K$290-$I291)</f>
        <v>113092541</v>
      </c>
    </row>
    <row r="292" customFormat="false" ht="15" hidden="false" customHeight="false" outlineLevel="0" collapsed="false">
      <c r="A292" s="32" t="n">
        <f aca="false">IF(271&gt;$B$6,"",271)</f>
        <v>271</v>
      </c>
      <c r="B292" s="33" t="n">
        <f aca="false">IF($A292="","",EDATE($B$8,271-1))</f>
        <v>54483</v>
      </c>
      <c r="C292" s="34" t="n">
        <f aca="false">IF($B$7="원리금균등",MAX(0,MIN($G$291,ROUND($B$11,0)-$D292)),IF($B$7="원금균등",MIN($G$291,ROUND($B$4/$B$6,0)),IF(271=$B$6,$G$291,0)))</f>
        <v>1071228</v>
      </c>
      <c r="D292" s="34" t="n">
        <f aca="false">ROUND($G$291*$B$10,0)</f>
        <v>395824</v>
      </c>
      <c r="E292" s="34" t="n">
        <f aca="false">IF($A292="",0,$C292+$D292)</f>
        <v>1467052</v>
      </c>
      <c r="F292" s="35"/>
      <c r="G292" s="34" t="n">
        <f aca="false">MAX(0,$G$291-$C292-$F292)</f>
        <v>112021313</v>
      </c>
      <c r="H292" s="32" t="str">
        <f aca="false">IF($B292="","",TEXT($B292,"yyyy-mm"))</f>
        <v>2049-03</v>
      </c>
      <c r="I292" s="36" t="n">
        <f aca="false">IF($B$7="원리금균등",MAX(0,MIN($K$291,ROUND($B$11,0)-$J292)),IF($B$7="원금균등",MIN($K$291,ROUND($B$4/$B$6,0)),IF(271=$B$6,$K$291,0)))</f>
        <v>1071228</v>
      </c>
      <c r="J292" s="36" t="n">
        <f aca="false">ROUND($K$291*$B$10,0)</f>
        <v>395824</v>
      </c>
      <c r="K292" s="36" t="n">
        <f aca="false">MAX(0,$K$291-$I292)</f>
        <v>112021313</v>
      </c>
    </row>
    <row r="293" customFormat="false" ht="15" hidden="false" customHeight="false" outlineLevel="0" collapsed="false">
      <c r="A293" s="32" t="n">
        <f aca="false">IF(272&gt;$B$6,"",272)</f>
        <v>272</v>
      </c>
      <c r="B293" s="33" t="n">
        <f aca="false">IF($A293="","",EDATE($B$8,272-1))</f>
        <v>54514</v>
      </c>
      <c r="C293" s="34" t="n">
        <f aca="false">IF($B$7="원리금균등",MAX(0,MIN($G$292,ROUND($B$11,0)-$D293)),IF($B$7="원금균등",MIN($G$292,ROUND($B$4/$B$6,0)),IF(272=$B$6,$G$292,0)))</f>
        <v>1074977</v>
      </c>
      <c r="D293" s="34" t="n">
        <f aca="false">ROUND($G$292*$B$10,0)</f>
        <v>392075</v>
      </c>
      <c r="E293" s="34" t="n">
        <f aca="false">IF($A293="",0,$C293+$D293)</f>
        <v>1467052</v>
      </c>
      <c r="F293" s="35"/>
      <c r="G293" s="34" t="n">
        <f aca="false">MAX(0,$G$292-$C293-$F293)</f>
        <v>110946336</v>
      </c>
      <c r="H293" s="32" t="str">
        <f aca="false">IF($B293="","",TEXT($B293,"yyyy-mm"))</f>
        <v>2049-04</v>
      </c>
      <c r="I293" s="36" t="n">
        <f aca="false">IF($B$7="원리금균등",MAX(0,MIN($K$292,ROUND($B$11,0)-$J293)),IF($B$7="원금균등",MIN($K$292,ROUND($B$4/$B$6,0)),IF(272=$B$6,$K$292,0)))</f>
        <v>1074977</v>
      </c>
      <c r="J293" s="36" t="n">
        <f aca="false">ROUND($K$292*$B$10,0)</f>
        <v>392075</v>
      </c>
      <c r="K293" s="36" t="n">
        <f aca="false">MAX(0,$K$292-$I293)</f>
        <v>110946336</v>
      </c>
    </row>
    <row r="294" customFormat="false" ht="15" hidden="false" customHeight="false" outlineLevel="0" collapsed="false">
      <c r="A294" s="32" t="n">
        <f aca="false">IF(273&gt;$B$6,"",273)</f>
        <v>273</v>
      </c>
      <c r="B294" s="33" t="n">
        <f aca="false">IF($A294="","",EDATE($B$8,273-1))</f>
        <v>54544</v>
      </c>
      <c r="C294" s="34" t="n">
        <f aca="false">IF($B$7="원리금균등",MAX(0,MIN($G$293,ROUND($B$11,0)-$D294)),IF($B$7="원금균등",MIN($G$293,ROUND($B$4/$B$6,0)),IF(273=$B$6,$G$293,0)))</f>
        <v>1078740</v>
      </c>
      <c r="D294" s="34" t="n">
        <f aca="false">ROUND($G$293*$B$10,0)</f>
        <v>388312</v>
      </c>
      <c r="E294" s="34" t="n">
        <f aca="false">IF($A294="",0,$C294+$D294)</f>
        <v>1467052</v>
      </c>
      <c r="F294" s="35"/>
      <c r="G294" s="34" t="n">
        <f aca="false">MAX(0,$G$293-$C294-$F294)</f>
        <v>109867596</v>
      </c>
      <c r="H294" s="32" t="str">
        <f aca="false">IF($B294="","",TEXT($B294,"yyyy-mm"))</f>
        <v>2049-05</v>
      </c>
      <c r="I294" s="36" t="n">
        <f aca="false">IF($B$7="원리금균등",MAX(0,MIN($K$293,ROUND($B$11,0)-$J294)),IF($B$7="원금균등",MIN($K$293,ROUND($B$4/$B$6,0)),IF(273=$B$6,$K$293,0)))</f>
        <v>1078740</v>
      </c>
      <c r="J294" s="36" t="n">
        <f aca="false">ROUND($K$293*$B$10,0)</f>
        <v>388312</v>
      </c>
      <c r="K294" s="36" t="n">
        <f aca="false">MAX(0,$K$293-$I294)</f>
        <v>109867596</v>
      </c>
    </row>
    <row r="295" customFormat="false" ht="15" hidden="false" customHeight="false" outlineLevel="0" collapsed="false">
      <c r="A295" s="32" t="n">
        <f aca="false">IF(274&gt;$B$6,"",274)</f>
        <v>274</v>
      </c>
      <c r="B295" s="33" t="n">
        <f aca="false">IF($A295="","",EDATE($B$8,274-1))</f>
        <v>54575</v>
      </c>
      <c r="C295" s="34" t="n">
        <f aca="false">IF($B$7="원리금균등",MAX(0,MIN($G$294,ROUND($B$11,0)-$D295)),IF($B$7="원금균등",MIN($G$294,ROUND($B$4/$B$6,0)),IF(274=$B$6,$G$294,0)))</f>
        <v>1082515</v>
      </c>
      <c r="D295" s="34" t="n">
        <f aca="false">ROUND($G$294*$B$10,0)</f>
        <v>384537</v>
      </c>
      <c r="E295" s="34" t="n">
        <f aca="false">IF($A295="",0,$C295+$D295)</f>
        <v>1467052</v>
      </c>
      <c r="F295" s="35"/>
      <c r="G295" s="34" t="n">
        <f aca="false">MAX(0,$G$294-$C295-$F295)</f>
        <v>108785081</v>
      </c>
      <c r="H295" s="32" t="str">
        <f aca="false">IF($B295="","",TEXT($B295,"yyyy-mm"))</f>
        <v>2049-06</v>
      </c>
      <c r="I295" s="36" t="n">
        <f aca="false">IF($B$7="원리금균등",MAX(0,MIN($K$294,ROUND($B$11,0)-$J295)),IF($B$7="원금균등",MIN($K$294,ROUND($B$4/$B$6,0)),IF(274=$B$6,$K$294,0)))</f>
        <v>1082515</v>
      </c>
      <c r="J295" s="36" t="n">
        <f aca="false">ROUND($K$294*$B$10,0)</f>
        <v>384537</v>
      </c>
      <c r="K295" s="36" t="n">
        <f aca="false">MAX(0,$K$294-$I295)</f>
        <v>108785081</v>
      </c>
    </row>
    <row r="296" customFormat="false" ht="15" hidden="false" customHeight="false" outlineLevel="0" collapsed="false">
      <c r="A296" s="32" t="n">
        <f aca="false">IF(275&gt;$B$6,"",275)</f>
        <v>275</v>
      </c>
      <c r="B296" s="33" t="n">
        <f aca="false">IF($A296="","",EDATE($B$8,275-1))</f>
        <v>54605</v>
      </c>
      <c r="C296" s="34" t="n">
        <f aca="false">IF($B$7="원리금균등",MAX(0,MIN($G$295,ROUND($B$11,0)-$D296)),IF($B$7="원금균등",MIN($G$295,ROUND($B$4/$B$6,0)),IF(275=$B$6,$G$295,0)))</f>
        <v>1086304</v>
      </c>
      <c r="D296" s="34" t="n">
        <f aca="false">ROUND($G$295*$B$10,0)</f>
        <v>380748</v>
      </c>
      <c r="E296" s="34" t="n">
        <f aca="false">IF($A296="",0,$C296+$D296)</f>
        <v>1467052</v>
      </c>
      <c r="F296" s="35"/>
      <c r="G296" s="34" t="n">
        <f aca="false">MAX(0,$G$295-$C296-$F296)</f>
        <v>107698777</v>
      </c>
      <c r="H296" s="32" t="str">
        <f aca="false">IF($B296="","",TEXT($B296,"yyyy-mm"))</f>
        <v>2049-07</v>
      </c>
      <c r="I296" s="36" t="n">
        <f aca="false">IF($B$7="원리금균등",MAX(0,MIN($K$295,ROUND($B$11,0)-$J296)),IF($B$7="원금균등",MIN($K$295,ROUND($B$4/$B$6,0)),IF(275=$B$6,$K$295,0)))</f>
        <v>1086304</v>
      </c>
      <c r="J296" s="36" t="n">
        <f aca="false">ROUND($K$295*$B$10,0)</f>
        <v>380748</v>
      </c>
      <c r="K296" s="36" t="n">
        <f aca="false">MAX(0,$K$295-$I296)</f>
        <v>107698777</v>
      </c>
    </row>
    <row r="297" customFormat="false" ht="15" hidden="false" customHeight="false" outlineLevel="0" collapsed="false">
      <c r="A297" s="32" t="n">
        <f aca="false">IF(276&gt;$B$6,"",276)</f>
        <v>276</v>
      </c>
      <c r="B297" s="33" t="n">
        <f aca="false">IF($A297="","",EDATE($B$8,276-1))</f>
        <v>54636</v>
      </c>
      <c r="C297" s="34" t="n">
        <f aca="false">IF($B$7="원리금균등",MAX(0,MIN($G$296,ROUND($B$11,0)-$D297)),IF($B$7="원금균등",MIN($G$296,ROUND($B$4/$B$6,0)),IF(276=$B$6,$G$296,0)))</f>
        <v>1090106</v>
      </c>
      <c r="D297" s="34" t="n">
        <f aca="false">ROUND($G$296*$B$10,0)</f>
        <v>376946</v>
      </c>
      <c r="E297" s="34" t="n">
        <f aca="false">IF($A297="",0,$C297+$D297)</f>
        <v>1467052</v>
      </c>
      <c r="F297" s="35"/>
      <c r="G297" s="34" t="n">
        <f aca="false">MAX(0,$G$296-$C297-$F297)</f>
        <v>106608671</v>
      </c>
      <c r="H297" s="32" t="str">
        <f aca="false">IF($B297="","",TEXT($B297,"yyyy-mm"))</f>
        <v>2049-08</v>
      </c>
      <c r="I297" s="36" t="n">
        <f aca="false">IF($B$7="원리금균등",MAX(0,MIN($K$296,ROUND($B$11,0)-$J297)),IF($B$7="원금균등",MIN($K$296,ROUND($B$4/$B$6,0)),IF(276=$B$6,$K$296,0)))</f>
        <v>1090106</v>
      </c>
      <c r="J297" s="36" t="n">
        <f aca="false">ROUND($K$296*$B$10,0)</f>
        <v>376946</v>
      </c>
      <c r="K297" s="36" t="n">
        <f aca="false">MAX(0,$K$296-$I297)</f>
        <v>106608671</v>
      </c>
    </row>
    <row r="298" customFormat="false" ht="15" hidden="false" customHeight="false" outlineLevel="0" collapsed="false">
      <c r="A298" s="32" t="n">
        <f aca="false">IF(277&gt;$B$6,"",277)</f>
        <v>277</v>
      </c>
      <c r="B298" s="33" t="n">
        <f aca="false">IF($A298="","",EDATE($B$8,277-1))</f>
        <v>54667</v>
      </c>
      <c r="C298" s="34" t="n">
        <f aca="false">IF($B$7="원리금균등",MAX(0,MIN($G$297,ROUND($B$11,0)-$D298)),IF($B$7="원금균등",MIN($G$297,ROUND($B$4/$B$6,0)),IF(277=$B$6,$G$297,0)))</f>
        <v>1093922</v>
      </c>
      <c r="D298" s="34" t="n">
        <f aca="false">ROUND($G$297*$B$10,0)</f>
        <v>373130</v>
      </c>
      <c r="E298" s="34" t="n">
        <f aca="false">IF($A298="",0,$C298+$D298)</f>
        <v>1467052</v>
      </c>
      <c r="F298" s="35"/>
      <c r="G298" s="34" t="n">
        <f aca="false">MAX(0,$G$297-$C298-$F298)</f>
        <v>105514749</v>
      </c>
      <c r="H298" s="32" t="str">
        <f aca="false">IF($B298="","",TEXT($B298,"yyyy-mm"))</f>
        <v>2049-09</v>
      </c>
      <c r="I298" s="36" t="n">
        <f aca="false">IF($B$7="원리금균등",MAX(0,MIN($K$297,ROUND($B$11,0)-$J298)),IF($B$7="원금균등",MIN($K$297,ROUND($B$4/$B$6,0)),IF(277=$B$6,$K$297,0)))</f>
        <v>1093922</v>
      </c>
      <c r="J298" s="36" t="n">
        <f aca="false">ROUND($K$297*$B$10,0)</f>
        <v>373130</v>
      </c>
      <c r="K298" s="36" t="n">
        <f aca="false">MAX(0,$K$297-$I298)</f>
        <v>105514749</v>
      </c>
    </row>
    <row r="299" customFormat="false" ht="15" hidden="false" customHeight="false" outlineLevel="0" collapsed="false">
      <c r="A299" s="32" t="n">
        <f aca="false">IF(278&gt;$B$6,"",278)</f>
        <v>278</v>
      </c>
      <c r="B299" s="33" t="n">
        <f aca="false">IF($A299="","",EDATE($B$8,278-1))</f>
        <v>54697</v>
      </c>
      <c r="C299" s="34" t="n">
        <f aca="false">IF($B$7="원리금균등",MAX(0,MIN($G$298,ROUND($B$11,0)-$D299)),IF($B$7="원금균등",MIN($G$298,ROUND($B$4/$B$6,0)),IF(278=$B$6,$G$298,0)))</f>
        <v>1097750</v>
      </c>
      <c r="D299" s="34" t="n">
        <f aca="false">ROUND($G$298*$B$10,0)</f>
        <v>369302</v>
      </c>
      <c r="E299" s="34" t="n">
        <f aca="false">IF($A299="",0,$C299+$D299)</f>
        <v>1467052</v>
      </c>
      <c r="F299" s="35"/>
      <c r="G299" s="34" t="n">
        <f aca="false">MAX(0,$G$298-$C299-$F299)</f>
        <v>104416999</v>
      </c>
      <c r="H299" s="32" t="str">
        <f aca="false">IF($B299="","",TEXT($B299,"yyyy-mm"))</f>
        <v>2049-10</v>
      </c>
      <c r="I299" s="36" t="n">
        <f aca="false">IF($B$7="원리금균등",MAX(0,MIN($K$298,ROUND($B$11,0)-$J299)),IF($B$7="원금균등",MIN($K$298,ROUND($B$4/$B$6,0)),IF(278=$B$6,$K$298,0)))</f>
        <v>1097750</v>
      </c>
      <c r="J299" s="36" t="n">
        <f aca="false">ROUND($K$298*$B$10,0)</f>
        <v>369302</v>
      </c>
      <c r="K299" s="36" t="n">
        <f aca="false">MAX(0,$K$298-$I299)</f>
        <v>104416999</v>
      </c>
    </row>
    <row r="300" customFormat="false" ht="15" hidden="false" customHeight="false" outlineLevel="0" collapsed="false">
      <c r="A300" s="32" t="n">
        <f aca="false">IF(279&gt;$B$6,"",279)</f>
        <v>279</v>
      </c>
      <c r="B300" s="33" t="n">
        <f aca="false">IF($A300="","",EDATE($B$8,279-1))</f>
        <v>54728</v>
      </c>
      <c r="C300" s="34" t="n">
        <f aca="false">IF($B$7="원리금균등",MAX(0,MIN($G$299,ROUND($B$11,0)-$D300)),IF($B$7="원금균등",MIN($G$299,ROUND($B$4/$B$6,0)),IF(279=$B$6,$G$299,0)))</f>
        <v>1101593</v>
      </c>
      <c r="D300" s="34" t="n">
        <f aca="false">ROUND($G$299*$B$10,0)</f>
        <v>365459</v>
      </c>
      <c r="E300" s="34" t="n">
        <f aca="false">IF($A300="",0,$C300+$D300)</f>
        <v>1467052</v>
      </c>
      <c r="F300" s="35"/>
      <c r="G300" s="34" t="n">
        <f aca="false">MAX(0,$G$299-$C300-$F300)</f>
        <v>103315406</v>
      </c>
      <c r="H300" s="32" t="str">
        <f aca="false">IF($B300="","",TEXT($B300,"yyyy-mm"))</f>
        <v>2049-11</v>
      </c>
      <c r="I300" s="36" t="n">
        <f aca="false">IF($B$7="원리금균등",MAX(0,MIN($K$299,ROUND($B$11,0)-$J300)),IF($B$7="원금균등",MIN($K$299,ROUND($B$4/$B$6,0)),IF(279=$B$6,$K$299,0)))</f>
        <v>1101593</v>
      </c>
      <c r="J300" s="36" t="n">
        <f aca="false">ROUND($K$299*$B$10,0)</f>
        <v>365459</v>
      </c>
      <c r="K300" s="36" t="n">
        <f aca="false">MAX(0,$K$299-$I300)</f>
        <v>103315406</v>
      </c>
    </row>
    <row r="301" customFormat="false" ht="15" hidden="false" customHeight="false" outlineLevel="0" collapsed="false">
      <c r="A301" s="32" t="n">
        <f aca="false">IF(280&gt;$B$6,"",280)</f>
        <v>280</v>
      </c>
      <c r="B301" s="33" t="n">
        <f aca="false">IF($A301="","",EDATE($B$8,280-1))</f>
        <v>54758</v>
      </c>
      <c r="C301" s="34" t="n">
        <f aca="false">IF($B$7="원리금균등",MAX(0,MIN($G$300,ROUND($B$11,0)-$D301)),IF($B$7="원금균등",MIN($G$300,ROUND($B$4/$B$6,0)),IF(280=$B$6,$G$300,0)))</f>
        <v>1105448</v>
      </c>
      <c r="D301" s="34" t="n">
        <f aca="false">ROUND($G$300*$B$10,0)</f>
        <v>361604</v>
      </c>
      <c r="E301" s="34" t="n">
        <f aca="false">IF($A301="",0,$C301+$D301)</f>
        <v>1467052</v>
      </c>
      <c r="F301" s="35"/>
      <c r="G301" s="34" t="n">
        <f aca="false">MAX(0,$G$300-$C301-$F301)</f>
        <v>102209958</v>
      </c>
      <c r="H301" s="32" t="str">
        <f aca="false">IF($B301="","",TEXT($B301,"yyyy-mm"))</f>
        <v>2049-12</v>
      </c>
      <c r="I301" s="36" t="n">
        <f aca="false">IF($B$7="원리금균등",MAX(0,MIN($K$300,ROUND($B$11,0)-$J301)),IF($B$7="원금균등",MIN($K$300,ROUND($B$4/$B$6,0)),IF(280=$B$6,$K$300,0)))</f>
        <v>1105448</v>
      </c>
      <c r="J301" s="36" t="n">
        <f aca="false">ROUND($K$300*$B$10,0)</f>
        <v>361604</v>
      </c>
      <c r="K301" s="36" t="n">
        <f aca="false">MAX(0,$K$300-$I301)</f>
        <v>102209958</v>
      </c>
    </row>
    <row r="302" customFormat="false" ht="15" hidden="false" customHeight="false" outlineLevel="0" collapsed="false">
      <c r="A302" s="32" t="n">
        <f aca="false">IF(281&gt;$B$6,"",281)</f>
        <v>281</v>
      </c>
      <c r="B302" s="33" t="n">
        <f aca="false">IF($A302="","",EDATE($B$8,281-1))</f>
        <v>54789</v>
      </c>
      <c r="C302" s="34" t="n">
        <f aca="false">IF($B$7="원리금균등",MAX(0,MIN($G$301,ROUND($B$11,0)-$D302)),IF($B$7="원금균등",MIN($G$301,ROUND($B$4/$B$6,0)),IF(281=$B$6,$G$301,0)))</f>
        <v>1109317</v>
      </c>
      <c r="D302" s="34" t="n">
        <f aca="false">ROUND($G$301*$B$10,0)</f>
        <v>357735</v>
      </c>
      <c r="E302" s="34" t="n">
        <f aca="false">IF($A302="",0,$C302+$D302)</f>
        <v>1467052</v>
      </c>
      <c r="F302" s="35"/>
      <c r="G302" s="34" t="n">
        <f aca="false">MAX(0,$G$301-$C302-$F302)</f>
        <v>101100641</v>
      </c>
      <c r="H302" s="32" t="str">
        <f aca="false">IF($B302="","",TEXT($B302,"yyyy-mm"))</f>
        <v>2050-01</v>
      </c>
      <c r="I302" s="36" t="n">
        <f aca="false">IF($B$7="원리금균등",MAX(0,MIN($K$301,ROUND($B$11,0)-$J302)),IF($B$7="원금균등",MIN($K$301,ROUND($B$4/$B$6,0)),IF(281=$B$6,$K$301,0)))</f>
        <v>1109317</v>
      </c>
      <c r="J302" s="36" t="n">
        <f aca="false">ROUND($K$301*$B$10,0)</f>
        <v>357735</v>
      </c>
      <c r="K302" s="36" t="n">
        <f aca="false">MAX(0,$K$301-$I302)</f>
        <v>101100641</v>
      </c>
    </row>
    <row r="303" customFormat="false" ht="15" hidden="false" customHeight="false" outlineLevel="0" collapsed="false">
      <c r="A303" s="32" t="n">
        <f aca="false">IF(282&gt;$B$6,"",282)</f>
        <v>282</v>
      </c>
      <c r="B303" s="33" t="n">
        <f aca="false">IF($A303="","",EDATE($B$8,282-1))</f>
        <v>54820</v>
      </c>
      <c r="C303" s="34" t="n">
        <f aca="false">IF($B$7="원리금균등",MAX(0,MIN($G$302,ROUND($B$11,0)-$D303)),IF($B$7="원금균등",MIN($G$302,ROUND($B$4/$B$6,0)),IF(282=$B$6,$G$302,0)))</f>
        <v>1113200</v>
      </c>
      <c r="D303" s="34" t="n">
        <f aca="false">ROUND($G$302*$B$10,0)</f>
        <v>353852</v>
      </c>
      <c r="E303" s="34" t="n">
        <f aca="false">IF($A303="",0,$C303+$D303)</f>
        <v>1467052</v>
      </c>
      <c r="F303" s="35"/>
      <c r="G303" s="34" t="n">
        <f aca="false">MAX(0,$G$302-$C303-$F303)</f>
        <v>99987441</v>
      </c>
      <c r="H303" s="32" t="str">
        <f aca="false">IF($B303="","",TEXT($B303,"yyyy-mm"))</f>
        <v>2050-02</v>
      </c>
      <c r="I303" s="36" t="n">
        <f aca="false">IF($B$7="원리금균등",MAX(0,MIN($K$302,ROUND($B$11,0)-$J303)),IF($B$7="원금균등",MIN($K$302,ROUND($B$4/$B$6,0)),IF(282=$B$6,$K$302,0)))</f>
        <v>1113200</v>
      </c>
      <c r="J303" s="36" t="n">
        <f aca="false">ROUND($K$302*$B$10,0)</f>
        <v>353852</v>
      </c>
      <c r="K303" s="36" t="n">
        <f aca="false">MAX(0,$K$302-$I303)</f>
        <v>99987441</v>
      </c>
    </row>
    <row r="304" customFormat="false" ht="15" hidden="false" customHeight="false" outlineLevel="0" collapsed="false">
      <c r="A304" s="32" t="n">
        <f aca="false">IF(283&gt;$B$6,"",283)</f>
        <v>283</v>
      </c>
      <c r="B304" s="33" t="n">
        <f aca="false">IF($A304="","",EDATE($B$8,283-1))</f>
        <v>54848</v>
      </c>
      <c r="C304" s="34" t="n">
        <f aca="false">IF($B$7="원리금균등",MAX(0,MIN($G$303,ROUND($B$11,0)-$D304)),IF($B$7="원금균등",MIN($G$303,ROUND($B$4/$B$6,0)),IF(283=$B$6,$G$303,0)))</f>
        <v>1117096</v>
      </c>
      <c r="D304" s="34" t="n">
        <f aca="false">ROUND($G$303*$B$10,0)</f>
        <v>349956</v>
      </c>
      <c r="E304" s="34" t="n">
        <f aca="false">IF($A304="",0,$C304+$D304)</f>
        <v>1467052</v>
      </c>
      <c r="F304" s="35"/>
      <c r="G304" s="34" t="n">
        <f aca="false">MAX(0,$G$303-$C304-$F304)</f>
        <v>98870345</v>
      </c>
      <c r="H304" s="32" t="str">
        <f aca="false">IF($B304="","",TEXT($B304,"yyyy-mm"))</f>
        <v>2050-03</v>
      </c>
      <c r="I304" s="36" t="n">
        <f aca="false">IF($B$7="원리금균등",MAX(0,MIN($K$303,ROUND($B$11,0)-$J304)),IF($B$7="원금균등",MIN($K$303,ROUND($B$4/$B$6,0)),IF(283=$B$6,$K$303,0)))</f>
        <v>1117096</v>
      </c>
      <c r="J304" s="36" t="n">
        <f aca="false">ROUND($K$303*$B$10,0)</f>
        <v>349956</v>
      </c>
      <c r="K304" s="36" t="n">
        <f aca="false">MAX(0,$K$303-$I304)</f>
        <v>98870345</v>
      </c>
    </row>
    <row r="305" customFormat="false" ht="15" hidden="false" customHeight="false" outlineLevel="0" collapsed="false">
      <c r="A305" s="32" t="n">
        <f aca="false">IF(284&gt;$B$6,"",284)</f>
        <v>284</v>
      </c>
      <c r="B305" s="33" t="n">
        <f aca="false">IF($A305="","",EDATE($B$8,284-1))</f>
        <v>54879</v>
      </c>
      <c r="C305" s="34" t="n">
        <f aca="false">IF($B$7="원리금균등",MAX(0,MIN($G$304,ROUND($B$11,0)-$D305)),IF($B$7="원금균등",MIN($G$304,ROUND($B$4/$B$6,0)),IF(284=$B$6,$G$304,0)))</f>
        <v>1121006</v>
      </c>
      <c r="D305" s="34" t="n">
        <f aca="false">ROUND($G$304*$B$10,0)</f>
        <v>346046</v>
      </c>
      <c r="E305" s="34" t="n">
        <f aca="false">IF($A305="",0,$C305+$D305)</f>
        <v>1467052</v>
      </c>
      <c r="F305" s="35"/>
      <c r="G305" s="34" t="n">
        <f aca="false">MAX(0,$G$304-$C305-$F305)</f>
        <v>97749339</v>
      </c>
      <c r="H305" s="32" t="str">
        <f aca="false">IF($B305="","",TEXT($B305,"yyyy-mm"))</f>
        <v>2050-04</v>
      </c>
      <c r="I305" s="36" t="n">
        <f aca="false">IF($B$7="원리금균등",MAX(0,MIN($K$304,ROUND($B$11,0)-$J305)),IF($B$7="원금균등",MIN($K$304,ROUND($B$4/$B$6,0)),IF(284=$B$6,$K$304,0)))</f>
        <v>1121006</v>
      </c>
      <c r="J305" s="36" t="n">
        <f aca="false">ROUND($K$304*$B$10,0)</f>
        <v>346046</v>
      </c>
      <c r="K305" s="36" t="n">
        <f aca="false">MAX(0,$K$304-$I305)</f>
        <v>97749339</v>
      </c>
    </row>
    <row r="306" customFormat="false" ht="15" hidden="false" customHeight="false" outlineLevel="0" collapsed="false">
      <c r="A306" s="32" t="n">
        <f aca="false">IF(285&gt;$B$6,"",285)</f>
        <v>285</v>
      </c>
      <c r="B306" s="33" t="n">
        <f aca="false">IF($A306="","",EDATE($B$8,285-1))</f>
        <v>54909</v>
      </c>
      <c r="C306" s="34" t="n">
        <f aca="false">IF($B$7="원리금균등",MAX(0,MIN($G$305,ROUND($B$11,0)-$D306)),IF($B$7="원금균등",MIN($G$305,ROUND($B$4/$B$6,0)),IF(285=$B$6,$G$305,0)))</f>
        <v>1124929</v>
      </c>
      <c r="D306" s="34" t="n">
        <f aca="false">ROUND($G$305*$B$10,0)</f>
        <v>342123</v>
      </c>
      <c r="E306" s="34" t="n">
        <f aca="false">IF($A306="",0,$C306+$D306)</f>
        <v>1467052</v>
      </c>
      <c r="F306" s="35"/>
      <c r="G306" s="34" t="n">
        <f aca="false">MAX(0,$G$305-$C306-$F306)</f>
        <v>96624410</v>
      </c>
      <c r="H306" s="32" t="str">
        <f aca="false">IF($B306="","",TEXT($B306,"yyyy-mm"))</f>
        <v>2050-05</v>
      </c>
      <c r="I306" s="36" t="n">
        <f aca="false">IF($B$7="원리금균등",MAX(0,MIN($K$305,ROUND($B$11,0)-$J306)),IF($B$7="원금균등",MIN($K$305,ROUND($B$4/$B$6,0)),IF(285=$B$6,$K$305,0)))</f>
        <v>1124929</v>
      </c>
      <c r="J306" s="36" t="n">
        <f aca="false">ROUND($K$305*$B$10,0)</f>
        <v>342123</v>
      </c>
      <c r="K306" s="36" t="n">
        <f aca="false">MAX(0,$K$305-$I306)</f>
        <v>96624410</v>
      </c>
    </row>
    <row r="307" customFormat="false" ht="15" hidden="false" customHeight="false" outlineLevel="0" collapsed="false">
      <c r="A307" s="32" t="n">
        <f aca="false">IF(286&gt;$B$6,"",286)</f>
        <v>286</v>
      </c>
      <c r="B307" s="33" t="n">
        <f aca="false">IF($A307="","",EDATE($B$8,286-1))</f>
        <v>54940</v>
      </c>
      <c r="C307" s="34" t="n">
        <f aca="false">IF($B$7="원리금균등",MAX(0,MIN($G$306,ROUND($B$11,0)-$D307)),IF($B$7="원금균등",MIN($G$306,ROUND($B$4/$B$6,0)),IF(286=$B$6,$G$306,0)))</f>
        <v>1128867</v>
      </c>
      <c r="D307" s="34" t="n">
        <f aca="false">ROUND($G$306*$B$10,0)</f>
        <v>338185</v>
      </c>
      <c r="E307" s="34" t="n">
        <f aca="false">IF($A307="",0,$C307+$D307)</f>
        <v>1467052</v>
      </c>
      <c r="F307" s="35"/>
      <c r="G307" s="34" t="n">
        <f aca="false">MAX(0,$G$306-$C307-$F307)</f>
        <v>95495543</v>
      </c>
      <c r="H307" s="32" t="str">
        <f aca="false">IF($B307="","",TEXT($B307,"yyyy-mm"))</f>
        <v>2050-06</v>
      </c>
      <c r="I307" s="36" t="n">
        <f aca="false">IF($B$7="원리금균등",MAX(0,MIN($K$306,ROUND($B$11,0)-$J307)),IF($B$7="원금균등",MIN($K$306,ROUND($B$4/$B$6,0)),IF(286=$B$6,$K$306,0)))</f>
        <v>1128867</v>
      </c>
      <c r="J307" s="36" t="n">
        <f aca="false">ROUND($K$306*$B$10,0)</f>
        <v>338185</v>
      </c>
      <c r="K307" s="36" t="n">
        <f aca="false">MAX(0,$K$306-$I307)</f>
        <v>95495543</v>
      </c>
    </row>
    <row r="308" customFormat="false" ht="15" hidden="false" customHeight="false" outlineLevel="0" collapsed="false">
      <c r="A308" s="32" t="n">
        <f aca="false">IF(287&gt;$B$6,"",287)</f>
        <v>287</v>
      </c>
      <c r="B308" s="33" t="n">
        <f aca="false">IF($A308="","",EDATE($B$8,287-1))</f>
        <v>54970</v>
      </c>
      <c r="C308" s="34" t="n">
        <f aca="false">IF($B$7="원리금균등",MAX(0,MIN($G$307,ROUND($B$11,0)-$D308)),IF($B$7="원금균등",MIN($G$307,ROUND($B$4/$B$6,0)),IF(287=$B$6,$G$307,0)))</f>
        <v>1132818</v>
      </c>
      <c r="D308" s="34" t="n">
        <f aca="false">ROUND($G$307*$B$10,0)</f>
        <v>334234</v>
      </c>
      <c r="E308" s="34" t="n">
        <f aca="false">IF($A308="",0,$C308+$D308)</f>
        <v>1467052</v>
      </c>
      <c r="F308" s="35"/>
      <c r="G308" s="34" t="n">
        <f aca="false">MAX(0,$G$307-$C308-$F308)</f>
        <v>94362725</v>
      </c>
      <c r="H308" s="32" t="str">
        <f aca="false">IF($B308="","",TEXT($B308,"yyyy-mm"))</f>
        <v>2050-07</v>
      </c>
      <c r="I308" s="36" t="n">
        <f aca="false">IF($B$7="원리금균등",MAX(0,MIN($K$307,ROUND($B$11,0)-$J308)),IF($B$7="원금균등",MIN($K$307,ROUND($B$4/$B$6,0)),IF(287=$B$6,$K$307,0)))</f>
        <v>1132818</v>
      </c>
      <c r="J308" s="36" t="n">
        <f aca="false">ROUND($K$307*$B$10,0)</f>
        <v>334234</v>
      </c>
      <c r="K308" s="36" t="n">
        <f aca="false">MAX(0,$K$307-$I308)</f>
        <v>94362725</v>
      </c>
    </row>
    <row r="309" customFormat="false" ht="15" hidden="false" customHeight="false" outlineLevel="0" collapsed="false">
      <c r="A309" s="32" t="n">
        <f aca="false">IF(288&gt;$B$6,"",288)</f>
        <v>288</v>
      </c>
      <c r="B309" s="33" t="n">
        <f aca="false">IF($A309="","",EDATE($B$8,288-1))</f>
        <v>55001</v>
      </c>
      <c r="C309" s="34" t="n">
        <f aca="false">IF($B$7="원리금균등",MAX(0,MIN($G$308,ROUND($B$11,0)-$D309)),IF($B$7="원금균등",MIN($G$308,ROUND($B$4/$B$6,0)),IF(288=$B$6,$G$308,0)))</f>
        <v>1136782</v>
      </c>
      <c r="D309" s="34" t="n">
        <f aca="false">ROUND($G$308*$B$10,0)</f>
        <v>330270</v>
      </c>
      <c r="E309" s="34" t="n">
        <f aca="false">IF($A309="",0,$C309+$D309)</f>
        <v>1467052</v>
      </c>
      <c r="F309" s="35"/>
      <c r="G309" s="34" t="n">
        <f aca="false">MAX(0,$G$308-$C309-$F309)</f>
        <v>93225943</v>
      </c>
      <c r="H309" s="32" t="str">
        <f aca="false">IF($B309="","",TEXT($B309,"yyyy-mm"))</f>
        <v>2050-08</v>
      </c>
      <c r="I309" s="36" t="n">
        <f aca="false">IF($B$7="원리금균등",MAX(0,MIN($K$308,ROUND($B$11,0)-$J309)),IF($B$7="원금균등",MIN($K$308,ROUND($B$4/$B$6,0)),IF(288=$B$6,$K$308,0)))</f>
        <v>1136782</v>
      </c>
      <c r="J309" s="36" t="n">
        <f aca="false">ROUND($K$308*$B$10,0)</f>
        <v>330270</v>
      </c>
      <c r="K309" s="36" t="n">
        <f aca="false">MAX(0,$K$308-$I309)</f>
        <v>93225943</v>
      </c>
    </row>
    <row r="310" customFormat="false" ht="15" hidden="false" customHeight="false" outlineLevel="0" collapsed="false">
      <c r="A310" s="32" t="n">
        <f aca="false">IF(289&gt;$B$6,"",289)</f>
        <v>289</v>
      </c>
      <c r="B310" s="33" t="n">
        <f aca="false">IF($A310="","",EDATE($B$8,289-1))</f>
        <v>55032</v>
      </c>
      <c r="C310" s="34" t="n">
        <f aca="false">IF($B$7="원리금균등",MAX(0,MIN($G$309,ROUND($B$11,0)-$D310)),IF($B$7="원금균등",MIN($G$309,ROUND($B$4/$B$6,0)),IF(289=$B$6,$G$309,0)))</f>
        <v>1140761</v>
      </c>
      <c r="D310" s="34" t="n">
        <f aca="false">ROUND($G$309*$B$10,0)</f>
        <v>326291</v>
      </c>
      <c r="E310" s="34" t="n">
        <f aca="false">IF($A310="",0,$C310+$D310)</f>
        <v>1467052</v>
      </c>
      <c r="F310" s="35"/>
      <c r="G310" s="34" t="n">
        <f aca="false">MAX(0,$G$309-$C310-$F310)</f>
        <v>92085182</v>
      </c>
      <c r="H310" s="32" t="str">
        <f aca="false">IF($B310="","",TEXT($B310,"yyyy-mm"))</f>
        <v>2050-09</v>
      </c>
      <c r="I310" s="36" t="n">
        <f aca="false">IF($B$7="원리금균등",MAX(0,MIN($K$309,ROUND($B$11,0)-$J310)),IF($B$7="원금균등",MIN($K$309,ROUND($B$4/$B$6,0)),IF(289=$B$6,$K$309,0)))</f>
        <v>1140761</v>
      </c>
      <c r="J310" s="36" t="n">
        <f aca="false">ROUND($K$309*$B$10,0)</f>
        <v>326291</v>
      </c>
      <c r="K310" s="36" t="n">
        <f aca="false">MAX(0,$K$309-$I310)</f>
        <v>92085182</v>
      </c>
    </row>
    <row r="311" customFormat="false" ht="15" hidden="false" customHeight="false" outlineLevel="0" collapsed="false">
      <c r="A311" s="32" t="n">
        <f aca="false">IF(290&gt;$B$6,"",290)</f>
        <v>290</v>
      </c>
      <c r="B311" s="33" t="n">
        <f aca="false">IF($A311="","",EDATE($B$8,290-1))</f>
        <v>55062</v>
      </c>
      <c r="C311" s="34" t="n">
        <f aca="false">IF($B$7="원리금균등",MAX(0,MIN($G$310,ROUND($B$11,0)-$D311)),IF($B$7="원금균등",MIN($G$310,ROUND($B$4/$B$6,0)),IF(290=$B$6,$G$310,0)))</f>
        <v>1144754</v>
      </c>
      <c r="D311" s="34" t="n">
        <f aca="false">ROUND($G$310*$B$10,0)</f>
        <v>322298</v>
      </c>
      <c r="E311" s="34" t="n">
        <f aca="false">IF($A311="",0,$C311+$D311)</f>
        <v>1467052</v>
      </c>
      <c r="F311" s="35"/>
      <c r="G311" s="34" t="n">
        <f aca="false">MAX(0,$G$310-$C311-$F311)</f>
        <v>90940428</v>
      </c>
      <c r="H311" s="32" t="str">
        <f aca="false">IF($B311="","",TEXT($B311,"yyyy-mm"))</f>
        <v>2050-10</v>
      </c>
      <c r="I311" s="36" t="n">
        <f aca="false">IF($B$7="원리금균등",MAX(0,MIN($K$310,ROUND($B$11,0)-$J311)),IF($B$7="원금균등",MIN($K$310,ROUND($B$4/$B$6,0)),IF(290=$B$6,$K$310,0)))</f>
        <v>1144754</v>
      </c>
      <c r="J311" s="36" t="n">
        <f aca="false">ROUND($K$310*$B$10,0)</f>
        <v>322298</v>
      </c>
      <c r="K311" s="36" t="n">
        <f aca="false">MAX(0,$K$310-$I311)</f>
        <v>90940428</v>
      </c>
    </row>
    <row r="312" customFormat="false" ht="15" hidden="false" customHeight="false" outlineLevel="0" collapsed="false">
      <c r="A312" s="32" t="n">
        <f aca="false">IF(291&gt;$B$6,"",291)</f>
        <v>291</v>
      </c>
      <c r="B312" s="33" t="n">
        <f aca="false">IF($A312="","",EDATE($B$8,291-1))</f>
        <v>55093</v>
      </c>
      <c r="C312" s="34" t="n">
        <f aca="false">IF($B$7="원리금균등",MAX(0,MIN($G$311,ROUND($B$11,0)-$D312)),IF($B$7="원금균등",MIN($G$311,ROUND($B$4/$B$6,0)),IF(291=$B$6,$G$311,0)))</f>
        <v>1148761</v>
      </c>
      <c r="D312" s="34" t="n">
        <f aca="false">ROUND($G$311*$B$10,0)</f>
        <v>318291</v>
      </c>
      <c r="E312" s="34" t="n">
        <f aca="false">IF($A312="",0,$C312+$D312)</f>
        <v>1467052</v>
      </c>
      <c r="F312" s="35"/>
      <c r="G312" s="34" t="n">
        <f aca="false">MAX(0,$G$311-$C312-$F312)</f>
        <v>89791667</v>
      </c>
      <c r="H312" s="32" t="str">
        <f aca="false">IF($B312="","",TEXT($B312,"yyyy-mm"))</f>
        <v>2050-11</v>
      </c>
      <c r="I312" s="36" t="n">
        <f aca="false">IF($B$7="원리금균등",MAX(0,MIN($K$311,ROUND($B$11,0)-$J312)),IF($B$7="원금균등",MIN($K$311,ROUND($B$4/$B$6,0)),IF(291=$B$6,$K$311,0)))</f>
        <v>1148761</v>
      </c>
      <c r="J312" s="36" t="n">
        <f aca="false">ROUND($K$311*$B$10,0)</f>
        <v>318291</v>
      </c>
      <c r="K312" s="36" t="n">
        <f aca="false">MAX(0,$K$311-$I312)</f>
        <v>89791667</v>
      </c>
    </row>
    <row r="313" customFormat="false" ht="15" hidden="false" customHeight="false" outlineLevel="0" collapsed="false">
      <c r="A313" s="32" t="n">
        <f aca="false">IF(292&gt;$B$6,"",292)</f>
        <v>292</v>
      </c>
      <c r="B313" s="33" t="n">
        <f aca="false">IF($A313="","",EDATE($B$8,292-1))</f>
        <v>55123</v>
      </c>
      <c r="C313" s="34" t="n">
        <f aca="false">IF($B$7="원리금균등",MAX(0,MIN($G$312,ROUND($B$11,0)-$D313)),IF($B$7="원금균등",MIN($G$312,ROUND($B$4/$B$6,0)),IF(292=$B$6,$G$312,0)))</f>
        <v>1152781</v>
      </c>
      <c r="D313" s="34" t="n">
        <f aca="false">ROUND($G$312*$B$10,0)</f>
        <v>314271</v>
      </c>
      <c r="E313" s="34" t="n">
        <f aca="false">IF($A313="",0,$C313+$D313)</f>
        <v>1467052</v>
      </c>
      <c r="F313" s="35"/>
      <c r="G313" s="34" t="n">
        <f aca="false">MAX(0,$G$312-$C313-$F313)</f>
        <v>88638886</v>
      </c>
      <c r="H313" s="32" t="str">
        <f aca="false">IF($B313="","",TEXT($B313,"yyyy-mm"))</f>
        <v>2050-12</v>
      </c>
      <c r="I313" s="36" t="n">
        <f aca="false">IF($B$7="원리금균등",MAX(0,MIN($K$312,ROUND($B$11,0)-$J313)),IF($B$7="원금균등",MIN($K$312,ROUND($B$4/$B$6,0)),IF(292=$B$6,$K$312,0)))</f>
        <v>1152781</v>
      </c>
      <c r="J313" s="36" t="n">
        <f aca="false">ROUND($K$312*$B$10,0)</f>
        <v>314271</v>
      </c>
      <c r="K313" s="36" t="n">
        <f aca="false">MAX(0,$K$312-$I313)</f>
        <v>88638886</v>
      </c>
    </row>
    <row r="314" customFormat="false" ht="15" hidden="false" customHeight="false" outlineLevel="0" collapsed="false">
      <c r="A314" s="32" t="n">
        <f aca="false">IF(293&gt;$B$6,"",293)</f>
        <v>293</v>
      </c>
      <c r="B314" s="33" t="n">
        <f aca="false">IF($A314="","",EDATE($B$8,293-1))</f>
        <v>55154</v>
      </c>
      <c r="C314" s="34" t="n">
        <f aca="false">IF($B$7="원리금균등",MAX(0,MIN($G$313,ROUND($B$11,0)-$D314)),IF($B$7="원금균등",MIN($G$313,ROUND($B$4/$B$6,0)),IF(293=$B$6,$G$313,0)))</f>
        <v>1156816</v>
      </c>
      <c r="D314" s="34" t="n">
        <f aca="false">ROUND($G$313*$B$10,0)</f>
        <v>310236</v>
      </c>
      <c r="E314" s="34" t="n">
        <f aca="false">IF($A314="",0,$C314+$D314)</f>
        <v>1467052</v>
      </c>
      <c r="F314" s="35"/>
      <c r="G314" s="34" t="n">
        <f aca="false">MAX(0,$G$313-$C314-$F314)</f>
        <v>87482070</v>
      </c>
      <c r="H314" s="32" t="str">
        <f aca="false">IF($B314="","",TEXT($B314,"yyyy-mm"))</f>
        <v>2051-01</v>
      </c>
      <c r="I314" s="36" t="n">
        <f aca="false">IF($B$7="원리금균등",MAX(0,MIN($K$313,ROUND($B$11,0)-$J314)),IF($B$7="원금균등",MIN($K$313,ROUND($B$4/$B$6,0)),IF(293=$B$6,$K$313,0)))</f>
        <v>1156816</v>
      </c>
      <c r="J314" s="36" t="n">
        <f aca="false">ROUND($K$313*$B$10,0)</f>
        <v>310236</v>
      </c>
      <c r="K314" s="36" t="n">
        <f aca="false">MAX(0,$K$313-$I314)</f>
        <v>87482070</v>
      </c>
    </row>
    <row r="315" customFormat="false" ht="15" hidden="false" customHeight="false" outlineLevel="0" collapsed="false">
      <c r="A315" s="32" t="n">
        <f aca="false">IF(294&gt;$B$6,"",294)</f>
        <v>294</v>
      </c>
      <c r="B315" s="33" t="n">
        <f aca="false">IF($A315="","",EDATE($B$8,294-1))</f>
        <v>55185</v>
      </c>
      <c r="C315" s="34" t="n">
        <f aca="false">IF($B$7="원리금균등",MAX(0,MIN($G$314,ROUND($B$11,0)-$D315)),IF($B$7="원금균등",MIN($G$314,ROUND($B$4/$B$6,0)),IF(294=$B$6,$G$314,0)))</f>
        <v>1160865</v>
      </c>
      <c r="D315" s="34" t="n">
        <f aca="false">ROUND($G$314*$B$10,0)</f>
        <v>306187</v>
      </c>
      <c r="E315" s="34" t="n">
        <f aca="false">IF($A315="",0,$C315+$D315)</f>
        <v>1467052</v>
      </c>
      <c r="F315" s="35"/>
      <c r="G315" s="34" t="n">
        <f aca="false">MAX(0,$G$314-$C315-$F315)</f>
        <v>86321205</v>
      </c>
      <c r="H315" s="32" t="str">
        <f aca="false">IF($B315="","",TEXT($B315,"yyyy-mm"))</f>
        <v>2051-02</v>
      </c>
      <c r="I315" s="36" t="n">
        <f aca="false">IF($B$7="원리금균등",MAX(0,MIN($K$314,ROUND($B$11,0)-$J315)),IF($B$7="원금균등",MIN($K$314,ROUND($B$4/$B$6,0)),IF(294=$B$6,$K$314,0)))</f>
        <v>1160865</v>
      </c>
      <c r="J315" s="36" t="n">
        <f aca="false">ROUND($K$314*$B$10,0)</f>
        <v>306187</v>
      </c>
      <c r="K315" s="36" t="n">
        <f aca="false">MAX(0,$K$314-$I315)</f>
        <v>86321205</v>
      </c>
    </row>
    <row r="316" customFormat="false" ht="15" hidden="false" customHeight="false" outlineLevel="0" collapsed="false">
      <c r="A316" s="32" t="n">
        <f aca="false">IF(295&gt;$B$6,"",295)</f>
        <v>295</v>
      </c>
      <c r="B316" s="33" t="n">
        <f aca="false">IF($A316="","",EDATE($B$8,295-1))</f>
        <v>55213</v>
      </c>
      <c r="C316" s="34" t="n">
        <f aca="false">IF($B$7="원리금균등",MAX(0,MIN($G$315,ROUND($B$11,0)-$D316)),IF($B$7="원금균등",MIN($G$315,ROUND($B$4/$B$6,0)),IF(295=$B$6,$G$315,0)))</f>
        <v>1164928</v>
      </c>
      <c r="D316" s="34" t="n">
        <f aca="false">ROUND($G$315*$B$10,0)</f>
        <v>302124</v>
      </c>
      <c r="E316" s="34" t="n">
        <f aca="false">IF($A316="",0,$C316+$D316)</f>
        <v>1467052</v>
      </c>
      <c r="F316" s="35"/>
      <c r="G316" s="34" t="n">
        <f aca="false">MAX(0,$G$315-$C316-$F316)</f>
        <v>85156277</v>
      </c>
      <c r="H316" s="32" t="str">
        <f aca="false">IF($B316="","",TEXT($B316,"yyyy-mm"))</f>
        <v>2051-03</v>
      </c>
      <c r="I316" s="36" t="n">
        <f aca="false">IF($B$7="원리금균등",MAX(0,MIN($K$315,ROUND($B$11,0)-$J316)),IF($B$7="원금균등",MIN($K$315,ROUND($B$4/$B$6,0)),IF(295=$B$6,$K$315,0)))</f>
        <v>1164928</v>
      </c>
      <c r="J316" s="36" t="n">
        <f aca="false">ROUND($K$315*$B$10,0)</f>
        <v>302124</v>
      </c>
      <c r="K316" s="36" t="n">
        <f aca="false">MAX(0,$K$315-$I316)</f>
        <v>85156277</v>
      </c>
    </row>
    <row r="317" customFormat="false" ht="15" hidden="false" customHeight="false" outlineLevel="0" collapsed="false">
      <c r="A317" s="32" t="n">
        <f aca="false">IF(296&gt;$B$6,"",296)</f>
        <v>296</v>
      </c>
      <c r="B317" s="33" t="n">
        <f aca="false">IF($A317="","",EDATE($B$8,296-1))</f>
        <v>55244</v>
      </c>
      <c r="C317" s="34" t="n">
        <f aca="false">IF($B$7="원리금균등",MAX(0,MIN($G$316,ROUND($B$11,0)-$D317)),IF($B$7="원금균등",MIN($G$316,ROUND($B$4/$B$6,0)),IF(296=$B$6,$G$316,0)))</f>
        <v>1169005</v>
      </c>
      <c r="D317" s="34" t="n">
        <f aca="false">ROUND($G$316*$B$10,0)</f>
        <v>298047</v>
      </c>
      <c r="E317" s="34" t="n">
        <f aca="false">IF($A317="",0,$C317+$D317)</f>
        <v>1467052</v>
      </c>
      <c r="F317" s="35"/>
      <c r="G317" s="34" t="n">
        <f aca="false">MAX(0,$G$316-$C317-$F317)</f>
        <v>83987272</v>
      </c>
      <c r="H317" s="32" t="str">
        <f aca="false">IF($B317="","",TEXT($B317,"yyyy-mm"))</f>
        <v>2051-04</v>
      </c>
      <c r="I317" s="36" t="n">
        <f aca="false">IF($B$7="원리금균등",MAX(0,MIN($K$316,ROUND($B$11,0)-$J317)),IF($B$7="원금균등",MIN($K$316,ROUND($B$4/$B$6,0)),IF(296=$B$6,$K$316,0)))</f>
        <v>1169005</v>
      </c>
      <c r="J317" s="36" t="n">
        <f aca="false">ROUND($K$316*$B$10,0)</f>
        <v>298047</v>
      </c>
      <c r="K317" s="36" t="n">
        <f aca="false">MAX(0,$K$316-$I317)</f>
        <v>83987272</v>
      </c>
    </row>
    <row r="318" customFormat="false" ht="15" hidden="false" customHeight="false" outlineLevel="0" collapsed="false">
      <c r="A318" s="32" t="n">
        <f aca="false">IF(297&gt;$B$6,"",297)</f>
        <v>297</v>
      </c>
      <c r="B318" s="33" t="n">
        <f aca="false">IF($A318="","",EDATE($B$8,297-1))</f>
        <v>55274</v>
      </c>
      <c r="C318" s="34" t="n">
        <f aca="false">IF($B$7="원리금균등",MAX(0,MIN($G$317,ROUND($B$11,0)-$D318)),IF($B$7="원금균등",MIN($G$317,ROUND($B$4/$B$6,0)),IF(297=$B$6,$G$317,0)))</f>
        <v>1173097</v>
      </c>
      <c r="D318" s="34" t="n">
        <f aca="false">ROUND($G$317*$B$10,0)</f>
        <v>293955</v>
      </c>
      <c r="E318" s="34" t="n">
        <f aca="false">IF($A318="",0,$C318+$D318)</f>
        <v>1467052</v>
      </c>
      <c r="F318" s="35"/>
      <c r="G318" s="34" t="n">
        <f aca="false">MAX(0,$G$317-$C318-$F318)</f>
        <v>82814175</v>
      </c>
      <c r="H318" s="32" t="str">
        <f aca="false">IF($B318="","",TEXT($B318,"yyyy-mm"))</f>
        <v>2051-05</v>
      </c>
      <c r="I318" s="36" t="n">
        <f aca="false">IF($B$7="원리금균등",MAX(0,MIN($K$317,ROUND($B$11,0)-$J318)),IF($B$7="원금균등",MIN($K$317,ROUND($B$4/$B$6,0)),IF(297=$B$6,$K$317,0)))</f>
        <v>1173097</v>
      </c>
      <c r="J318" s="36" t="n">
        <f aca="false">ROUND($K$317*$B$10,0)</f>
        <v>293955</v>
      </c>
      <c r="K318" s="36" t="n">
        <f aca="false">MAX(0,$K$317-$I318)</f>
        <v>82814175</v>
      </c>
    </row>
    <row r="319" customFormat="false" ht="15" hidden="false" customHeight="false" outlineLevel="0" collapsed="false">
      <c r="A319" s="32" t="n">
        <f aca="false">IF(298&gt;$B$6,"",298)</f>
        <v>298</v>
      </c>
      <c r="B319" s="33" t="n">
        <f aca="false">IF($A319="","",EDATE($B$8,298-1))</f>
        <v>55305</v>
      </c>
      <c r="C319" s="34" t="n">
        <f aca="false">IF($B$7="원리금균등",MAX(0,MIN($G$318,ROUND($B$11,0)-$D319)),IF($B$7="원금균등",MIN($G$318,ROUND($B$4/$B$6,0)),IF(298=$B$6,$G$318,0)))</f>
        <v>1177202</v>
      </c>
      <c r="D319" s="34" t="n">
        <f aca="false">ROUND($G$318*$B$10,0)</f>
        <v>289850</v>
      </c>
      <c r="E319" s="34" t="n">
        <f aca="false">IF($A319="",0,$C319+$D319)</f>
        <v>1467052</v>
      </c>
      <c r="F319" s="35"/>
      <c r="G319" s="34" t="n">
        <f aca="false">MAX(0,$G$318-$C319-$F319)</f>
        <v>81636973</v>
      </c>
      <c r="H319" s="32" t="str">
        <f aca="false">IF($B319="","",TEXT($B319,"yyyy-mm"))</f>
        <v>2051-06</v>
      </c>
      <c r="I319" s="36" t="n">
        <f aca="false">IF($B$7="원리금균등",MAX(0,MIN($K$318,ROUND($B$11,0)-$J319)),IF($B$7="원금균등",MIN($K$318,ROUND($B$4/$B$6,0)),IF(298=$B$6,$K$318,0)))</f>
        <v>1177202</v>
      </c>
      <c r="J319" s="36" t="n">
        <f aca="false">ROUND($K$318*$B$10,0)</f>
        <v>289850</v>
      </c>
      <c r="K319" s="36" t="n">
        <f aca="false">MAX(0,$K$318-$I319)</f>
        <v>81636973</v>
      </c>
    </row>
    <row r="320" customFormat="false" ht="15" hidden="false" customHeight="false" outlineLevel="0" collapsed="false">
      <c r="A320" s="32" t="n">
        <f aca="false">IF(299&gt;$B$6,"",299)</f>
        <v>299</v>
      </c>
      <c r="B320" s="33" t="n">
        <f aca="false">IF($A320="","",EDATE($B$8,299-1))</f>
        <v>55335</v>
      </c>
      <c r="C320" s="34" t="n">
        <f aca="false">IF($B$7="원리금균등",MAX(0,MIN($G$319,ROUND($B$11,0)-$D320)),IF($B$7="원금균등",MIN($G$319,ROUND($B$4/$B$6,0)),IF(299=$B$6,$G$319,0)))</f>
        <v>1181323</v>
      </c>
      <c r="D320" s="34" t="n">
        <f aca="false">ROUND($G$319*$B$10,0)</f>
        <v>285729</v>
      </c>
      <c r="E320" s="34" t="n">
        <f aca="false">IF($A320="",0,$C320+$D320)</f>
        <v>1467052</v>
      </c>
      <c r="F320" s="35"/>
      <c r="G320" s="34" t="n">
        <f aca="false">MAX(0,$G$319-$C320-$F320)</f>
        <v>80455650</v>
      </c>
      <c r="H320" s="32" t="str">
        <f aca="false">IF($B320="","",TEXT($B320,"yyyy-mm"))</f>
        <v>2051-07</v>
      </c>
      <c r="I320" s="36" t="n">
        <f aca="false">IF($B$7="원리금균등",MAX(0,MIN($K$319,ROUND($B$11,0)-$J320)),IF($B$7="원금균등",MIN($K$319,ROUND($B$4/$B$6,0)),IF(299=$B$6,$K$319,0)))</f>
        <v>1181323</v>
      </c>
      <c r="J320" s="36" t="n">
        <f aca="false">ROUND($K$319*$B$10,0)</f>
        <v>285729</v>
      </c>
      <c r="K320" s="36" t="n">
        <f aca="false">MAX(0,$K$319-$I320)</f>
        <v>80455650</v>
      </c>
    </row>
    <row r="321" customFormat="false" ht="15" hidden="false" customHeight="false" outlineLevel="0" collapsed="false">
      <c r="A321" s="32" t="n">
        <f aca="false">IF(300&gt;$B$6,"",300)</f>
        <v>300</v>
      </c>
      <c r="B321" s="33" t="n">
        <f aca="false">IF($A321="","",EDATE($B$8,300-1))</f>
        <v>55366</v>
      </c>
      <c r="C321" s="34" t="n">
        <f aca="false">IF($B$7="원리금균등",MAX(0,MIN($G$320,ROUND($B$11,0)-$D321)),IF($B$7="원금균등",MIN($G$320,ROUND($B$4/$B$6,0)),IF(300=$B$6,$G$320,0)))</f>
        <v>1185457</v>
      </c>
      <c r="D321" s="34" t="n">
        <f aca="false">ROUND($G$320*$B$10,0)</f>
        <v>281595</v>
      </c>
      <c r="E321" s="34" t="n">
        <f aca="false">IF($A321="",0,$C321+$D321)</f>
        <v>1467052</v>
      </c>
      <c r="F321" s="35"/>
      <c r="G321" s="34" t="n">
        <f aca="false">MAX(0,$G$320-$C321-$F321)</f>
        <v>79270193</v>
      </c>
      <c r="H321" s="32" t="str">
        <f aca="false">IF($B321="","",TEXT($B321,"yyyy-mm"))</f>
        <v>2051-08</v>
      </c>
      <c r="I321" s="36" t="n">
        <f aca="false">IF($B$7="원리금균등",MAX(0,MIN($K$320,ROUND($B$11,0)-$J321)),IF($B$7="원금균등",MIN($K$320,ROUND($B$4/$B$6,0)),IF(300=$B$6,$K$320,0)))</f>
        <v>1185457</v>
      </c>
      <c r="J321" s="36" t="n">
        <f aca="false">ROUND($K$320*$B$10,0)</f>
        <v>281595</v>
      </c>
      <c r="K321" s="36" t="n">
        <f aca="false">MAX(0,$K$320-$I321)</f>
        <v>79270193</v>
      </c>
    </row>
    <row r="322" customFormat="false" ht="15" hidden="false" customHeight="false" outlineLevel="0" collapsed="false">
      <c r="A322" s="32" t="n">
        <f aca="false">IF(301&gt;$B$6,"",301)</f>
        <v>301</v>
      </c>
      <c r="B322" s="33" t="n">
        <f aca="false">IF($A322="","",EDATE($B$8,301-1))</f>
        <v>55397</v>
      </c>
      <c r="C322" s="34" t="n">
        <f aca="false">IF($B$7="원리금균등",MAX(0,MIN($G$321,ROUND($B$11,0)-$D322)),IF($B$7="원금균등",MIN($G$321,ROUND($B$4/$B$6,0)),IF(301=$B$6,$G$321,0)))</f>
        <v>1189606</v>
      </c>
      <c r="D322" s="34" t="n">
        <f aca="false">ROUND($G$321*$B$10,0)</f>
        <v>277446</v>
      </c>
      <c r="E322" s="34" t="n">
        <f aca="false">IF($A322="",0,$C322+$D322)</f>
        <v>1467052</v>
      </c>
      <c r="F322" s="35"/>
      <c r="G322" s="34" t="n">
        <f aca="false">MAX(0,$G$321-$C322-$F322)</f>
        <v>78080587</v>
      </c>
      <c r="H322" s="32" t="str">
        <f aca="false">IF($B322="","",TEXT($B322,"yyyy-mm"))</f>
        <v>2051-09</v>
      </c>
      <c r="I322" s="36" t="n">
        <f aca="false">IF($B$7="원리금균등",MAX(0,MIN($K$321,ROUND($B$11,0)-$J322)),IF($B$7="원금균등",MIN($K$321,ROUND($B$4/$B$6,0)),IF(301=$B$6,$K$321,0)))</f>
        <v>1189606</v>
      </c>
      <c r="J322" s="36" t="n">
        <f aca="false">ROUND($K$321*$B$10,0)</f>
        <v>277446</v>
      </c>
      <c r="K322" s="36" t="n">
        <f aca="false">MAX(0,$K$321-$I322)</f>
        <v>78080587</v>
      </c>
    </row>
    <row r="323" customFormat="false" ht="15" hidden="false" customHeight="false" outlineLevel="0" collapsed="false">
      <c r="A323" s="32" t="n">
        <f aca="false">IF(302&gt;$B$6,"",302)</f>
        <v>302</v>
      </c>
      <c r="B323" s="33" t="n">
        <f aca="false">IF($A323="","",EDATE($B$8,302-1))</f>
        <v>55427</v>
      </c>
      <c r="C323" s="34" t="n">
        <f aca="false">IF($B$7="원리금균등",MAX(0,MIN($G$322,ROUND($B$11,0)-$D323)),IF($B$7="원금균등",MIN($G$322,ROUND($B$4/$B$6,0)),IF(302=$B$6,$G$322,0)))</f>
        <v>1193770</v>
      </c>
      <c r="D323" s="34" t="n">
        <f aca="false">ROUND($G$322*$B$10,0)</f>
        <v>273282</v>
      </c>
      <c r="E323" s="34" t="n">
        <f aca="false">IF($A323="",0,$C323+$D323)</f>
        <v>1467052</v>
      </c>
      <c r="F323" s="35"/>
      <c r="G323" s="34" t="n">
        <f aca="false">MAX(0,$G$322-$C323-$F323)</f>
        <v>76886817</v>
      </c>
      <c r="H323" s="32" t="str">
        <f aca="false">IF($B323="","",TEXT($B323,"yyyy-mm"))</f>
        <v>2051-10</v>
      </c>
      <c r="I323" s="36" t="n">
        <f aca="false">IF($B$7="원리금균등",MAX(0,MIN($K$322,ROUND($B$11,0)-$J323)),IF($B$7="원금균등",MIN($K$322,ROUND($B$4/$B$6,0)),IF(302=$B$6,$K$322,0)))</f>
        <v>1193770</v>
      </c>
      <c r="J323" s="36" t="n">
        <f aca="false">ROUND($K$322*$B$10,0)</f>
        <v>273282</v>
      </c>
      <c r="K323" s="36" t="n">
        <f aca="false">MAX(0,$K$322-$I323)</f>
        <v>76886817</v>
      </c>
    </row>
    <row r="324" customFormat="false" ht="15" hidden="false" customHeight="false" outlineLevel="0" collapsed="false">
      <c r="A324" s="32" t="n">
        <f aca="false">IF(303&gt;$B$6,"",303)</f>
        <v>303</v>
      </c>
      <c r="B324" s="33" t="n">
        <f aca="false">IF($A324="","",EDATE($B$8,303-1))</f>
        <v>55458</v>
      </c>
      <c r="C324" s="34" t="n">
        <f aca="false">IF($B$7="원리금균등",MAX(0,MIN($G$323,ROUND($B$11,0)-$D324)),IF($B$7="원금균등",MIN($G$323,ROUND($B$4/$B$6,0)),IF(303=$B$6,$G$323,0)))</f>
        <v>1197948</v>
      </c>
      <c r="D324" s="34" t="n">
        <f aca="false">ROUND($G$323*$B$10,0)</f>
        <v>269104</v>
      </c>
      <c r="E324" s="34" t="n">
        <f aca="false">IF($A324="",0,$C324+$D324)</f>
        <v>1467052</v>
      </c>
      <c r="F324" s="35"/>
      <c r="G324" s="34" t="n">
        <f aca="false">MAX(0,$G$323-$C324-$F324)</f>
        <v>75688869</v>
      </c>
      <c r="H324" s="32" t="str">
        <f aca="false">IF($B324="","",TEXT($B324,"yyyy-mm"))</f>
        <v>2051-11</v>
      </c>
      <c r="I324" s="36" t="n">
        <f aca="false">IF($B$7="원리금균등",MAX(0,MIN($K$323,ROUND($B$11,0)-$J324)),IF($B$7="원금균등",MIN($K$323,ROUND($B$4/$B$6,0)),IF(303=$B$6,$K$323,0)))</f>
        <v>1197948</v>
      </c>
      <c r="J324" s="36" t="n">
        <f aca="false">ROUND($K$323*$B$10,0)</f>
        <v>269104</v>
      </c>
      <c r="K324" s="36" t="n">
        <f aca="false">MAX(0,$K$323-$I324)</f>
        <v>75688869</v>
      </c>
    </row>
    <row r="325" customFormat="false" ht="15" hidden="false" customHeight="false" outlineLevel="0" collapsed="false">
      <c r="A325" s="32" t="n">
        <f aca="false">IF(304&gt;$B$6,"",304)</f>
        <v>304</v>
      </c>
      <c r="B325" s="33" t="n">
        <f aca="false">IF($A325="","",EDATE($B$8,304-1))</f>
        <v>55488</v>
      </c>
      <c r="C325" s="34" t="n">
        <f aca="false">IF($B$7="원리금균등",MAX(0,MIN($G$324,ROUND($B$11,0)-$D325)),IF($B$7="원금균등",MIN($G$324,ROUND($B$4/$B$6,0)),IF(304=$B$6,$G$324,0)))</f>
        <v>1202141</v>
      </c>
      <c r="D325" s="34" t="n">
        <f aca="false">ROUND($G$324*$B$10,0)</f>
        <v>264911</v>
      </c>
      <c r="E325" s="34" t="n">
        <f aca="false">IF($A325="",0,$C325+$D325)</f>
        <v>1467052</v>
      </c>
      <c r="F325" s="35"/>
      <c r="G325" s="34" t="n">
        <f aca="false">MAX(0,$G$324-$C325-$F325)</f>
        <v>74486728</v>
      </c>
      <c r="H325" s="32" t="str">
        <f aca="false">IF($B325="","",TEXT($B325,"yyyy-mm"))</f>
        <v>2051-12</v>
      </c>
      <c r="I325" s="36" t="n">
        <f aca="false">IF($B$7="원리금균등",MAX(0,MIN($K$324,ROUND($B$11,0)-$J325)),IF($B$7="원금균등",MIN($K$324,ROUND($B$4/$B$6,0)),IF(304=$B$6,$K$324,0)))</f>
        <v>1202141</v>
      </c>
      <c r="J325" s="36" t="n">
        <f aca="false">ROUND($K$324*$B$10,0)</f>
        <v>264911</v>
      </c>
      <c r="K325" s="36" t="n">
        <f aca="false">MAX(0,$K$324-$I325)</f>
        <v>74486728</v>
      </c>
    </row>
    <row r="326" customFormat="false" ht="15" hidden="false" customHeight="false" outlineLevel="0" collapsed="false">
      <c r="A326" s="32" t="n">
        <f aca="false">IF(305&gt;$B$6,"",305)</f>
        <v>305</v>
      </c>
      <c r="B326" s="33" t="n">
        <f aca="false">IF($A326="","",EDATE($B$8,305-1))</f>
        <v>55519</v>
      </c>
      <c r="C326" s="34" t="n">
        <f aca="false">IF($B$7="원리금균등",MAX(0,MIN($G$325,ROUND($B$11,0)-$D326)),IF($B$7="원금균등",MIN($G$325,ROUND($B$4/$B$6,0)),IF(305=$B$6,$G$325,0)))</f>
        <v>1206348</v>
      </c>
      <c r="D326" s="34" t="n">
        <f aca="false">ROUND($G$325*$B$10,0)</f>
        <v>260704</v>
      </c>
      <c r="E326" s="34" t="n">
        <f aca="false">IF($A326="",0,$C326+$D326)</f>
        <v>1467052</v>
      </c>
      <c r="F326" s="35"/>
      <c r="G326" s="34" t="n">
        <f aca="false">MAX(0,$G$325-$C326-$F326)</f>
        <v>73280380</v>
      </c>
      <c r="H326" s="32" t="str">
        <f aca="false">IF($B326="","",TEXT($B326,"yyyy-mm"))</f>
        <v>2052-01</v>
      </c>
      <c r="I326" s="36" t="n">
        <f aca="false">IF($B$7="원리금균등",MAX(0,MIN($K$325,ROUND($B$11,0)-$J326)),IF($B$7="원금균등",MIN($K$325,ROUND($B$4/$B$6,0)),IF(305=$B$6,$K$325,0)))</f>
        <v>1206348</v>
      </c>
      <c r="J326" s="36" t="n">
        <f aca="false">ROUND($K$325*$B$10,0)</f>
        <v>260704</v>
      </c>
      <c r="K326" s="36" t="n">
        <f aca="false">MAX(0,$K$325-$I326)</f>
        <v>73280380</v>
      </c>
    </row>
    <row r="327" customFormat="false" ht="15" hidden="false" customHeight="false" outlineLevel="0" collapsed="false">
      <c r="A327" s="32" t="n">
        <f aca="false">IF(306&gt;$B$6,"",306)</f>
        <v>306</v>
      </c>
      <c r="B327" s="33" t="n">
        <f aca="false">IF($A327="","",EDATE($B$8,306-1))</f>
        <v>55550</v>
      </c>
      <c r="C327" s="34" t="n">
        <f aca="false">IF($B$7="원리금균등",MAX(0,MIN($G$326,ROUND($B$11,0)-$D327)),IF($B$7="원금균등",MIN($G$326,ROUND($B$4/$B$6,0)),IF(306=$B$6,$G$326,0)))</f>
        <v>1210571</v>
      </c>
      <c r="D327" s="34" t="n">
        <f aca="false">ROUND($G$326*$B$10,0)</f>
        <v>256481</v>
      </c>
      <c r="E327" s="34" t="n">
        <f aca="false">IF($A327="",0,$C327+$D327)</f>
        <v>1467052</v>
      </c>
      <c r="F327" s="35"/>
      <c r="G327" s="34" t="n">
        <f aca="false">MAX(0,$G$326-$C327-$F327)</f>
        <v>72069809</v>
      </c>
      <c r="H327" s="32" t="str">
        <f aca="false">IF($B327="","",TEXT($B327,"yyyy-mm"))</f>
        <v>2052-02</v>
      </c>
      <c r="I327" s="36" t="n">
        <f aca="false">IF($B$7="원리금균등",MAX(0,MIN($K$326,ROUND($B$11,0)-$J327)),IF($B$7="원금균등",MIN($K$326,ROUND($B$4/$B$6,0)),IF(306=$B$6,$K$326,0)))</f>
        <v>1210571</v>
      </c>
      <c r="J327" s="36" t="n">
        <f aca="false">ROUND($K$326*$B$10,0)</f>
        <v>256481</v>
      </c>
      <c r="K327" s="36" t="n">
        <f aca="false">MAX(0,$K$326-$I327)</f>
        <v>72069809</v>
      </c>
    </row>
    <row r="328" customFormat="false" ht="15" hidden="false" customHeight="false" outlineLevel="0" collapsed="false">
      <c r="A328" s="32" t="n">
        <f aca="false">IF(307&gt;$B$6,"",307)</f>
        <v>307</v>
      </c>
      <c r="B328" s="33" t="n">
        <f aca="false">IF($A328="","",EDATE($B$8,307-1))</f>
        <v>55579</v>
      </c>
      <c r="C328" s="34" t="n">
        <f aca="false">IF($B$7="원리금균등",MAX(0,MIN($G$327,ROUND($B$11,0)-$D328)),IF($B$7="원금균등",MIN($G$327,ROUND($B$4/$B$6,0)),IF(307=$B$6,$G$327,0)))</f>
        <v>1214808</v>
      </c>
      <c r="D328" s="34" t="n">
        <f aca="false">ROUND($G$327*$B$10,0)</f>
        <v>252244</v>
      </c>
      <c r="E328" s="34" t="n">
        <f aca="false">IF($A328="",0,$C328+$D328)</f>
        <v>1467052</v>
      </c>
      <c r="F328" s="35"/>
      <c r="G328" s="34" t="n">
        <f aca="false">MAX(0,$G$327-$C328-$F328)</f>
        <v>70855001</v>
      </c>
      <c r="H328" s="32" t="str">
        <f aca="false">IF($B328="","",TEXT($B328,"yyyy-mm"))</f>
        <v>2052-03</v>
      </c>
      <c r="I328" s="36" t="n">
        <f aca="false">IF($B$7="원리금균등",MAX(0,MIN($K$327,ROUND($B$11,0)-$J328)),IF($B$7="원금균등",MIN($K$327,ROUND($B$4/$B$6,0)),IF(307=$B$6,$K$327,0)))</f>
        <v>1214808</v>
      </c>
      <c r="J328" s="36" t="n">
        <f aca="false">ROUND($K$327*$B$10,0)</f>
        <v>252244</v>
      </c>
      <c r="K328" s="36" t="n">
        <f aca="false">MAX(0,$K$327-$I328)</f>
        <v>70855001</v>
      </c>
    </row>
    <row r="329" customFormat="false" ht="15" hidden="false" customHeight="false" outlineLevel="0" collapsed="false">
      <c r="A329" s="32" t="n">
        <f aca="false">IF(308&gt;$B$6,"",308)</f>
        <v>308</v>
      </c>
      <c r="B329" s="33" t="n">
        <f aca="false">IF($A329="","",EDATE($B$8,308-1))</f>
        <v>55610</v>
      </c>
      <c r="C329" s="34" t="n">
        <f aca="false">IF($B$7="원리금균등",MAX(0,MIN($G$328,ROUND($B$11,0)-$D329)),IF($B$7="원금균등",MIN($G$328,ROUND($B$4/$B$6,0)),IF(308=$B$6,$G$328,0)))</f>
        <v>1219059</v>
      </c>
      <c r="D329" s="34" t="n">
        <f aca="false">ROUND($G$328*$B$10,0)</f>
        <v>247993</v>
      </c>
      <c r="E329" s="34" t="n">
        <f aca="false">IF($A329="",0,$C329+$D329)</f>
        <v>1467052</v>
      </c>
      <c r="F329" s="35"/>
      <c r="G329" s="34" t="n">
        <f aca="false">MAX(0,$G$328-$C329-$F329)</f>
        <v>69635942</v>
      </c>
      <c r="H329" s="32" t="str">
        <f aca="false">IF($B329="","",TEXT($B329,"yyyy-mm"))</f>
        <v>2052-04</v>
      </c>
      <c r="I329" s="36" t="n">
        <f aca="false">IF($B$7="원리금균등",MAX(0,MIN($K$328,ROUND($B$11,0)-$J329)),IF($B$7="원금균등",MIN($K$328,ROUND($B$4/$B$6,0)),IF(308=$B$6,$K$328,0)))</f>
        <v>1219059</v>
      </c>
      <c r="J329" s="36" t="n">
        <f aca="false">ROUND($K$328*$B$10,0)</f>
        <v>247993</v>
      </c>
      <c r="K329" s="36" t="n">
        <f aca="false">MAX(0,$K$328-$I329)</f>
        <v>69635942</v>
      </c>
    </row>
    <row r="330" customFormat="false" ht="15" hidden="false" customHeight="false" outlineLevel="0" collapsed="false">
      <c r="A330" s="32" t="n">
        <f aca="false">IF(309&gt;$B$6,"",309)</f>
        <v>309</v>
      </c>
      <c r="B330" s="33" t="n">
        <f aca="false">IF($A330="","",EDATE($B$8,309-1))</f>
        <v>55640</v>
      </c>
      <c r="C330" s="34" t="n">
        <f aca="false">IF($B$7="원리금균등",MAX(0,MIN($G$329,ROUND($B$11,0)-$D330)),IF($B$7="원금균등",MIN($G$329,ROUND($B$4/$B$6,0)),IF(309=$B$6,$G$329,0)))</f>
        <v>1223326</v>
      </c>
      <c r="D330" s="34" t="n">
        <f aca="false">ROUND($G$329*$B$10,0)</f>
        <v>243726</v>
      </c>
      <c r="E330" s="34" t="n">
        <f aca="false">IF($A330="",0,$C330+$D330)</f>
        <v>1467052</v>
      </c>
      <c r="F330" s="35"/>
      <c r="G330" s="34" t="n">
        <f aca="false">MAX(0,$G$329-$C330-$F330)</f>
        <v>68412616</v>
      </c>
      <c r="H330" s="32" t="str">
        <f aca="false">IF($B330="","",TEXT($B330,"yyyy-mm"))</f>
        <v>2052-05</v>
      </c>
      <c r="I330" s="36" t="n">
        <f aca="false">IF($B$7="원리금균등",MAX(0,MIN($K$329,ROUND($B$11,0)-$J330)),IF($B$7="원금균등",MIN($K$329,ROUND($B$4/$B$6,0)),IF(309=$B$6,$K$329,0)))</f>
        <v>1223326</v>
      </c>
      <c r="J330" s="36" t="n">
        <f aca="false">ROUND($K$329*$B$10,0)</f>
        <v>243726</v>
      </c>
      <c r="K330" s="36" t="n">
        <f aca="false">MAX(0,$K$329-$I330)</f>
        <v>68412616</v>
      </c>
    </row>
    <row r="331" customFormat="false" ht="15" hidden="false" customHeight="false" outlineLevel="0" collapsed="false">
      <c r="A331" s="32" t="n">
        <f aca="false">IF(310&gt;$B$6,"",310)</f>
        <v>310</v>
      </c>
      <c r="B331" s="33" t="n">
        <f aca="false">IF($A331="","",EDATE($B$8,310-1))</f>
        <v>55671</v>
      </c>
      <c r="C331" s="34" t="n">
        <f aca="false">IF($B$7="원리금균등",MAX(0,MIN($G$330,ROUND($B$11,0)-$D331)),IF($B$7="원금균등",MIN($G$330,ROUND($B$4/$B$6,0)),IF(310=$B$6,$G$330,0)))</f>
        <v>1227608</v>
      </c>
      <c r="D331" s="34" t="n">
        <f aca="false">ROUND($G$330*$B$10,0)</f>
        <v>239444</v>
      </c>
      <c r="E331" s="34" t="n">
        <f aca="false">IF($A331="",0,$C331+$D331)</f>
        <v>1467052</v>
      </c>
      <c r="F331" s="35"/>
      <c r="G331" s="34" t="n">
        <f aca="false">MAX(0,$G$330-$C331-$F331)</f>
        <v>67185008</v>
      </c>
      <c r="H331" s="32" t="str">
        <f aca="false">IF($B331="","",TEXT($B331,"yyyy-mm"))</f>
        <v>2052-06</v>
      </c>
      <c r="I331" s="36" t="n">
        <f aca="false">IF($B$7="원리금균등",MAX(0,MIN($K$330,ROUND($B$11,0)-$J331)),IF($B$7="원금균등",MIN($K$330,ROUND($B$4/$B$6,0)),IF(310=$B$6,$K$330,0)))</f>
        <v>1227608</v>
      </c>
      <c r="J331" s="36" t="n">
        <f aca="false">ROUND($K$330*$B$10,0)</f>
        <v>239444</v>
      </c>
      <c r="K331" s="36" t="n">
        <f aca="false">MAX(0,$K$330-$I331)</f>
        <v>67185008</v>
      </c>
    </row>
    <row r="332" customFormat="false" ht="15" hidden="false" customHeight="false" outlineLevel="0" collapsed="false">
      <c r="A332" s="32" t="n">
        <f aca="false">IF(311&gt;$B$6,"",311)</f>
        <v>311</v>
      </c>
      <c r="B332" s="33" t="n">
        <f aca="false">IF($A332="","",EDATE($B$8,311-1))</f>
        <v>55701</v>
      </c>
      <c r="C332" s="34" t="n">
        <f aca="false">IF($B$7="원리금균등",MAX(0,MIN($G$331,ROUND($B$11,0)-$D332)),IF($B$7="원금균등",MIN($G$331,ROUND($B$4/$B$6,0)),IF(311=$B$6,$G$331,0)))</f>
        <v>1231904</v>
      </c>
      <c r="D332" s="34" t="n">
        <f aca="false">ROUND($G$331*$B$10,0)</f>
        <v>235148</v>
      </c>
      <c r="E332" s="34" t="n">
        <f aca="false">IF($A332="",0,$C332+$D332)</f>
        <v>1467052</v>
      </c>
      <c r="F332" s="35"/>
      <c r="G332" s="34" t="n">
        <f aca="false">MAX(0,$G$331-$C332-$F332)</f>
        <v>65953104</v>
      </c>
      <c r="H332" s="32" t="str">
        <f aca="false">IF($B332="","",TEXT($B332,"yyyy-mm"))</f>
        <v>2052-07</v>
      </c>
      <c r="I332" s="36" t="n">
        <f aca="false">IF($B$7="원리금균등",MAX(0,MIN($K$331,ROUND($B$11,0)-$J332)),IF($B$7="원금균등",MIN($K$331,ROUND($B$4/$B$6,0)),IF(311=$B$6,$K$331,0)))</f>
        <v>1231904</v>
      </c>
      <c r="J332" s="36" t="n">
        <f aca="false">ROUND($K$331*$B$10,0)</f>
        <v>235148</v>
      </c>
      <c r="K332" s="36" t="n">
        <f aca="false">MAX(0,$K$331-$I332)</f>
        <v>65953104</v>
      </c>
    </row>
    <row r="333" customFormat="false" ht="15" hidden="false" customHeight="false" outlineLevel="0" collapsed="false">
      <c r="A333" s="32" t="n">
        <f aca="false">IF(312&gt;$B$6,"",312)</f>
        <v>312</v>
      </c>
      <c r="B333" s="33" t="n">
        <f aca="false">IF($A333="","",EDATE($B$8,312-1))</f>
        <v>55732</v>
      </c>
      <c r="C333" s="34" t="n">
        <f aca="false">IF($B$7="원리금균등",MAX(0,MIN($G$332,ROUND($B$11,0)-$D333)),IF($B$7="원금균등",MIN($G$332,ROUND($B$4/$B$6,0)),IF(312=$B$6,$G$332,0)))</f>
        <v>1236216</v>
      </c>
      <c r="D333" s="34" t="n">
        <f aca="false">ROUND($G$332*$B$10,0)</f>
        <v>230836</v>
      </c>
      <c r="E333" s="34" t="n">
        <f aca="false">IF($A333="",0,$C333+$D333)</f>
        <v>1467052</v>
      </c>
      <c r="F333" s="35"/>
      <c r="G333" s="34" t="n">
        <f aca="false">MAX(0,$G$332-$C333-$F333)</f>
        <v>64716888</v>
      </c>
      <c r="H333" s="32" t="str">
        <f aca="false">IF($B333="","",TEXT($B333,"yyyy-mm"))</f>
        <v>2052-08</v>
      </c>
      <c r="I333" s="36" t="n">
        <f aca="false">IF($B$7="원리금균등",MAX(0,MIN($K$332,ROUND($B$11,0)-$J333)),IF($B$7="원금균등",MIN($K$332,ROUND($B$4/$B$6,0)),IF(312=$B$6,$K$332,0)))</f>
        <v>1236216</v>
      </c>
      <c r="J333" s="36" t="n">
        <f aca="false">ROUND($K$332*$B$10,0)</f>
        <v>230836</v>
      </c>
      <c r="K333" s="36" t="n">
        <f aca="false">MAX(0,$K$332-$I333)</f>
        <v>64716888</v>
      </c>
    </row>
    <row r="334" customFormat="false" ht="15" hidden="false" customHeight="false" outlineLevel="0" collapsed="false">
      <c r="A334" s="32" t="n">
        <f aca="false">IF(313&gt;$B$6,"",313)</f>
        <v>313</v>
      </c>
      <c r="B334" s="33" t="n">
        <f aca="false">IF($A334="","",EDATE($B$8,313-1))</f>
        <v>55763</v>
      </c>
      <c r="C334" s="34" t="n">
        <f aca="false">IF($B$7="원리금균등",MAX(0,MIN($G$333,ROUND($B$11,0)-$D334)),IF($B$7="원금균등",MIN($G$333,ROUND($B$4/$B$6,0)),IF(313=$B$6,$G$333,0)))</f>
        <v>1240543</v>
      </c>
      <c r="D334" s="34" t="n">
        <f aca="false">ROUND($G$333*$B$10,0)</f>
        <v>226509</v>
      </c>
      <c r="E334" s="34" t="n">
        <f aca="false">IF($A334="",0,$C334+$D334)</f>
        <v>1467052</v>
      </c>
      <c r="F334" s="35"/>
      <c r="G334" s="34" t="n">
        <f aca="false">MAX(0,$G$333-$C334-$F334)</f>
        <v>63476345</v>
      </c>
      <c r="H334" s="32" t="str">
        <f aca="false">IF($B334="","",TEXT($B334,"yyyy-mm"))</f>
        <v>2052-09</v>
      </c>
      <c r="I334" s="36" t="n">
        <f aca="false">IF($B$7="원리금균등",MAX(0,MIN($K$333,ROUND($B$11,0)-$J334)),IF($B$7="원금균등",MIN($K$333,ROUND($B$4/$B$6,0)),IF(313=$B$6,$K$333,0)))</f>
        <v>1240543</v>
      </c>
      <c r="J334" s="36" t="n">
        <f aca="false">ROUND($K$333*$B$10,0)</f>
        <v>226509</v>
      </c>
      <c r="K334" s="36" t="n">
        <f aca="false">MAX(0,$K$333-$I334)</f>
        <v>63476345</v>
      </c>
    </row>
    <row r="335" customFormat="false" ht="15" hidden="false" customHeight="false" outlineLevel="0" collapsed="false">
      <c r="A335" s="32" t="n">
        <f aca="false">IF(314&gt;$B$6,"",314)</f>
        <v>314</v>
      </c>
      <c r="B335" s="33" t="n">
        <f aca="false">IF($A335="","",EDATE($B$8,314-1))</f>
        <v>55793</v>
      </c>
      <c r="C335" s="34" t="n">
        <f aca="false">IF($B$7="원리금균등",MAX(0,MIN($G$334,ROUND($B$11,0)-$D335)),IF($B$7="원금균등",MIN($G$334,ROUND($B$4/$B$6,0)),IF(314=$B$6,$G$334,0)))</f>
        <v>1244885</v>
      </c>
      <c r="D335" s="34" t="n">
        <f aca="false">ROUND($G$334*$B$10,0)</f>
        <v>222167</v>
      </c>
      <c r="E335" s="34" t="n">
        <f aca="false">IF($A335="",0,$C335+$D335)</f>
        <v>1467052</v>
      </c>
      <c r="F335" s="35"/>
      <c r="G335" s="34" t="n">
        <f aca="false">MAX(0,$G$334-$C335-$F335)</f>
        <v>62231460</v>
      </c>
      <c r="H335" s="32" t="str">
        <f aca="false">IF($B335="","",TEXT($B335,"yyyy-mm"))</f>
        <v>2052-10</v>
      </c>
      <c r="I335" s="36" t="n">
        <f aca="false">IF($B$7="원리금균등",MAX(0,MIN($K$334,ROUND($B$11,0)-$J335)),IF($B$7="원금균등",MIN($K$334,ROUND($B$4/$B$6,0)),IF(314=$B$6,$K$334,0)))</f>
        <v>1244885</v>
      </c>
      <c r="J335" s="36" t="n">
        <f aca="false">ROUND($K$334*$B$10,0)</f>
        <v>222167</v>
      </c>
      <c r="K335" s="36" t="n">
        <f aca="false">MAX(0,$K$334-$I335)</f>
        <v>62231460</v>
      </c>
    </row>
    <row r="336" customFormat="false" ht="15" hidden="false" customHeight="false" outlineLevel="0" collapsed="false">
      <c r="A336" s="32" t="n">
        <f aca="false">IF(315&gt;$B$6,"",315)</f>
        <v>315</v>
      </c>
      <c r="B336" s="33" t="n">
        <f aca="false">IF($A336="","",EDATE($B$8,315-1))</f>
        <v>55824</v>
      </c>
      <c r="C336" s="34" t="n">
        <f aca="false">IF($B$7="원리금균등",MAX(0,MIN($G$335,ROUND($B$11,0)-$D336)),IF($B$7="원금균등",MIN($G$335,ROUND($B$4/$B$6,0)),IF(315=$B$6,$G$335,0)))</f>
        <v>1249242</v>
      </c>
      <c r="D336" s="34" t="n">
        <f aca="false">ROUND($G$335*$B$10,0)</f>
        <v>217810</v>
      </c>
      <c r="E336" s="34" t="n">
        <f aca="false">IF($A336="",0,$C336+$D336)</f>
        <v>1467052</v>
      </c>
      <c r="F336" s="35"/>
      <c r="G336" s="34" t="n">
        <f aca="false">MAX(0,$G$335-$C336-$F336)</f>
        <v>60982218</v>
      </c>
      <c r="H336" s="32" t="str">
        <f aca="false">IF($B336="","",TEXT($B336,"yyyy-mm"))</f>
        <v>2052-11</v>
      </c>
      <c r="I336" s="36" t="n">
        <f aca="false">IF($B$7="원리금균등",MAX(0,MIN($K$335,ROUND($B$11,0)-$J336)),IF($B$7="원금균등",MIN($K$335,ROUND($B$4/$B$6,0)),IF(315=$B$6,$K$335,0)))</f>
        <v>1249242</v>
      </c>
      <c r="J336" s="36" t="n">
        <f aca="false">ROUND($K$335*$B$10,0)</f>
        <v>217810</v>
      </c>
      <c r="K336" s="36" t="n">
        <f aca="false">MAX(0,$K$335-$I336)</f>
        <v>60982218</v>
      </c>
    </row>
    <row r="337" customFormat="false" ht="15" hidden="false" customHeight="false" outlineLevel="0" collapsed="false">
      <c r="A337" s="32" t="n">
        <f aca="false">IF(316&gt;$B$6,"",316)</f>
        <v>316</v>
      </c>
      <c r="B337" s="33" t="n">
        <f aca="false">IF($A337="","",EDATE($B$8,316-1))</f>
        <v>55854</v>
      </c>
      <c r="C337" s="34" t="n">
        <f aca="false">IF($B$7="원리금균등",MAX(0,MIN($G$336,ROUND($B$11,0)-$D337)),IF($B$7="원금균등",MIN($G$336,ROUND($B$4/$B$6,0)),IF(316=$B$6,$G$336,0)))</f>
        <v>1253614</v>
      </c>
      <c r="D337" s="34" t="n">
        <f aca="false">ROUND($G$336*$B$10,0)</f>
        <v>213438</v>
      </c>
      <c r="E337" s="34" t="n">
        <f aca="false">IF($A337="",0,$C337+$D337)</f>
        <v>1467052</v>
      </c>
      <c r="F337" s="35"/>
      <c r="G337" s="34" t="n">
        <f aca="false">MAX(0,$G$336-$C337-$F337)</f>
        <v>59728604</v>
      </c>
      <c r="H337" s="32" t="str">
        <f aca="false">IF($B337="","",TEXT($B337,"yyyy-mm"))</f>
        <v>2052-12</v>
      </c>
      <c r="I337" s="36" t="n">
        <f aca="false">IF($B$7="원리금균등",MAX(0,MIN($K$336,ROUND($B$11,0)-$J337)),IF($B$7="원금균등",MIN($K$336,ROUND($B$4/$B$6,0)),IF(316=$B$6,$K$336,0)))</f>
        <v>1253614</v>
      </c>
      <c r="J337" s="36" t="n">
        <f aca="false">ROUND($K$336*$B$10,0)</f>
        <v>213438</v>
      </c>
      <c r="K337" s="36" t="n">
        <f aca="false">MAX(0,$K$336-$I337)</f>
        <v>59728604</v>
      </c>
    </row>
    <row r="338" customFormat="false" ht="15" hidden="false" customHeight="false" outlineLevel="0" collapsed="false">
      <c r="A338" s="32" t="n">
        <f aca="false">IF(317&gt;$B$6,"",317)</f>
        <v>317</v>
      </c>
      <c r="B338" s="33" t="n">
        <f aca="false">IF($A338="","",EDATE($B$8,317-1))</f>
        <v>55885</v>
      </c>
      <c r="C338" s="34" t="n">
        <f aca="false">IF($B$7="원리금균등",MAX(0,MIN($G$337,ROUND($B$11,0)-$D338)),IF($B$7="원금균등",MIN($G$337,ROUND($B$4/$B$6,0)),IF(317=$B$6,$G$337,0)))</f>
        <v>1258002</v>
      </c>
      <c r="D338" s="34" t="n">
        <f aca="false">ROUND($G$337*$B$10,0)</f>
        <v>209050</v>
      </c>
      <c r="E338" s="34" t="n">
        <f aca="false">IF($A338="",0,$C338+$D338)</f>
        <v>1467052</v>
      </c>
      <c r="F338" s="35"/>
      <c r="G338" s="34" t="n">
        <f aca="false">MAX(0,$G$337-$C338-$F338)</f>
        <v>58470602</v>
      </c>
      <c r="H338" s="32" t="str">
        <f aca="false">IF($B338="","",TEXT($B338,"yyyy-mm"))</f>
        <v>2053-01</v>
      </c>
      <c r="I338" s="36" t="n">
        <f aca="false">IF($B$7="원리금균등",MAX(0,MIN($K$337,ROUND($B$11,0)-$J338)),IF($B$7="원금균등",MIN($K$337,ROUND($B$4/$B$6,0)),IF(317=$B$6,$K$337,0)))</f>
        <v>1258002</v>
      </c>
      <c r="J338" s="36" t="n">
        <f aca="false">ROUND($K$337*$B$10,0)</f>
        <v>209050</v>
      </c>
      <c r="K338" s="36" t="n">
        <f aca="false">MAX(0,$K$337-$I338)</f>
        <v>58470602</v>
      </c>
    </row>
    <row r="339" customFormat="false" ht="15" hidden="false" customHeight="false" outlineLevel="0" collapsed="false">
      <c r="A339" s="32" t="n">
        <f aca="false">IF(318&gt;$B$6,"",318)</f>
        <v>318</v>
      </c>
      <c r="B339" s="33" t="n">
        <f aca="false">IF($A339="","",EDATE($B$8,318-1))</f>
        <v>55916</v>
      </c>
      <c r="C339" s="34" t="n">
        <f aca="false">IF($B$7="원리금균등",MAX(0,MIN($G$338,ROUND($B$11,0)-$D339)),IF($B$7="원금균등",MIN($G$338,ROUND($B$4/$B$6,0)),IF(318=$B$6,$G$338,0)))</f>
        <v>1262405</v>
      </c>
      <c r="D339" s="34" t="n">
        <f aca="false">ROUND($G$338*$B$10,0)</f>
        <v>204647</v>
      </c>
      <c r="E339" s="34" t="n">
        <f aca="false">IF($A339="",0,$C339+$D339)</f>
        <v>1467052</v>
      </c>
      <c r="F339" s="35"/>
      <c r="G339" s="34" t="n">
        <f aca="false">MAX(0,$G$338-$C339-$F339)</f>
        <v>57208197</v>
      </c>
      <c r="H339" s="32" t="str">
        <f aca="false">IF($B339="","",TEXT($B339,"yyyy-mm"))</f>
        <v>2053-02</v>
      </c>
      <c r="I339" s="36" t="n">
        <f aca="false">IF($B$7="원리금균등",MAX(0,MIN($K$338,ROUND($B$11,0)-$J339)),IF($B$7="원금균등",MIN($K$338,ROUND($B$4/$B$6,0)),IF(318=$B$6,$K$338,0)))</f>
        <v>1262405</v>
      </c>
      <c r="J339" s="36" t="n">
        <f aca="false">ROUND($K$338*$B$10,0)</f>
        <v>204647</v>
      </c>
      <c r="K339" s="36" t="n">
        <f aca="false">MAX(0,$K$338-$I339)</f>
        <v>57208197</v>
      </c>
    </row>
    <row r="340" customFormat="false" ht="15" hidden="false" customHeight="false" outlineLevel="0" collapsed="false">
      <c r="A340" s="32" t="n">
        <f aca="false">IF(319&gt;$B$6,"",319)</f>
        <v>319</v>
      </c>
      <c r="B340" s="33" t="n">
        <f aca="false">IF($A340="","",EDATE($B$8,319-1))</f>
        <v>55944</v>
      </c>
      <c r="C340" s="34" t="n">
        <f aca="false">IF($B$7="원리금균등",MAX(0,MIN($G$339,ROUND($B$11,0)-$D340)),IF($B$7="원금균등",MIN($G$339,ROUND($B$4/$B$6,0)),IF(319=$B$6,$G$339,0)))</f>
        <v>1266823</v>
      </c>
      <c r="D340" s="34" t="n">
        <f aca="false">ROUND($G$339*$B$10,0)</f>
        <v>200229</v>
      </c>
      <c r="E340" s="34" t="n">
        <f aca="false">IF($A340="",0,$C340+$D340)</f>
        <v>1467052</v>
      </c>
      <c r="F340" s="35"/>
      <c r="G340" s="34" t="n">
        <f aca="false">MAX(0,$G$339-$C340-$F340)</f>
        <v>55941374</v>
      </c>
      <c r="H340" s="32" t="str">
        <f aca="false">IF($B340="","",TEXT($B340,"yyyy-mm"))</f>
        <v>2053-03</v>
      </c>
      <c r="I340" s="36" t="n">
        <f aca="false">IF($B$7="원리금균등",MAX(0,MIN($K$339,ROUND($B$11,0)-$J340)),IF($B$7="원금균등",MIN($K$339,ROUND($B$4/$B$6,0)),IF(319=$B$6,$K$339,0)))</f>
        <v>1266823</v>
      </c>
      <c r="J340" s="36" t="n">
        <f aca="false">ROUND($K$339*$B$10,0)</f>
        <v>200229</v>
      </c>
      <c r="K340" s="36" t="n">
        <f aca="false">MAX(0,$K$339-$I340)</f>
        <v>55941374</v>
      </c>
    </row>
    <row r="341" customFormat="false" ht="15" hidden="false" customHeight="false" outlineLevel="0" collapsed="false">
      <c r="A341" s="32" t="n">
        <f aca="false">IF(320&gt;$B$6,"",320)</f>
        <v>320</v>
      </c>
      <c r="B341" s="33" t="n">
        <f aca="false">IF($A341="","",EDATE($B$8,320-1))</f>
        <v>55975</v>
      </c>
      <c r="C341" s="34" t="n">
        <f aca="false">IF($B$7="원리금균등",MAX(0,MIN($G$340,ROUND($B$11,0)-$D341)),IF($B$7="원금균등",MIN($G$340,ROUND($B$4/$B$6,0)),IF(320=$B$6,$G$340,0)))</f>
        <v>1271257</v>
      </c>
      <c r="D341" s="34" t="n">
        <f aca="false">ROUND($G$340*$B$10,0)</f>
        <v>195795</v>
      </c>
      <c r="E341" s="34" t="n">
        <f aca="false">IF($A341="",0,$C341+$D341)</f>
        <v>1467052</v>
      </c>
      <c r="F341" s="35"/>
      <c r="G341" s="34" t="n">
        <f aca="false">MAX(0,$G$340-$C341-$F341)</f>
        <v>54670117</v>
      </c>
      <c r="H341" s="32" t="str">
        <f aca="false">IF($B341="","",TEXT($B341,"yyyy-mm"))</f>
        <v>2053-04</v>
      </c>
      <c r="I341" s="36" t="n">
        <f aca="false">IF($B$7="원리금균등",MAX(0,MIN($K$340,ROUND($B$11,0)-$J341)),IF($B$7="원금균등",MIN($K$340,ROUND($B$4/$B$6,0)),IF(320=$B$6,$K$340,0)))</f>
        <v>1271257</v>
      </c>
      <c r="J341" s="36" t="n">
        <f aca="false">ROUND($K$340*$B$10,0)</f>
        <v>195795</v>
      </c>
      <c r="K341" s="36" t="n">
        <f aca="false">MAX(0,$K$340-$I341)</f>
        <v>54670117</v>
      </c>
    </row>
    <row r="342" customFormat="false" ht="15" hidden="false" customHeight="false" outlineLevel="0" collapsed="false">
      <c r="A342" s="32" t="n">
        <f aca="false">IF(321&gt;$B$6,"",321)</f>
        <v>321</v>
      </c>
      <c r="B342" s="33" t="n">
        <f aca="false">IF($A342="","",EDATE($B$8,321-1))</f>
        <v>56005</v>
      </c>
      <c r="C342" s="34" t="n">
        <f aca="false">IF($B$7="원리금균등",MAX(0,MIN($G$341,ROUND($B$11,0)-$D342)),IF($B$7="원금균등",MIN($G$341,ROUND($B$4/$B$6,0)),IF(321=$B$6,$G$341,0)))</f>
        <v>1275707</v>
      </c>
      <c r="D342" s="34" t="n">
        <f aca="false">ROUND($G$341*$B$10,0)</f>
        <v>191345</v>
      </c>
      <c r="E342" s="34" t="n">
        <f aca="false">IF($A342="",0,$C342+$D342)</f>
        <v>1467052</v>
      </c>
      <c r="F342" s="35"/>
      <c r="G342" s="34" t="n">
        <f aca="false">MAX(0,$G$341-$C342-$F342)</f>
        <v>53394410</v>
      </c>
      <c r="H342" s="32" t="str">
        <f aca="false">IF($B342="","",TEXT($B342,"yyyy-mm"))</f>
        <v>2053-05</v>
      </c>
      <c r="I342" s="36" t="n">
        <f aca="false">IF($B$7="원리금균등",MAX(0,MIN($K$341,ROUND($B$11,0)-$J342)),IF($B$7="원금균등",MIN($K$341,ROUND($B$4/$B$6,0)),IF(321=$B$6,$K$341,0)))</f>
        <v>1275707</v>
      </c>
      <c r="J342" s="36" t="n">
        <f aca="false">ROUND($K$341*$B$10,0)</f>
        <v>191345</v>
      </c>
      <c r="K342" s="36" t="n">
        <f aca="false">MAX(0,$K$341-$I342)</f>
        <v>53394410</v>
      </c>
    </row>
    <row r="343" customFormat="false" ht="15" hidden="false" customHeight="false" outlineLevel="0" collapsed="false">
      <c r="A343" s="32" t="n">
        <f aca="false">IF(322&gt;$B$6,"",322)</f>
        <v>322</v>
      </c>
      <c r="B343" s="33" t="n">
        <f aca="false">IF($A343="","",EDATE($B$8,322-1))</f>
        <v>56036</v>
      </c>
      <c r="C343" s="34" t="n">
        <f aca="false">IF($B$7="원리금균등",MAX(0,MIN($G$342,ROUND($B$11,0)-$D343)),IF($B$7="원금균등",MIN($G$342,ROUND($B$4/$B$6,0)),IF(322=$B$6,$G$342,0)))</f>
        <v>1280172</v>
      </c>
      <c r="D343" s="34" t="n">
        <f aca="false">ROUND($G$342*$B$10,0)</f>
        <v>186880</v>
      </c>
      <c r="E343" s="34" t="n">
        <f aca="false">IF($A343="",0,$C343+$D343)</f>
        <v>1467052</v>
      </c>
      <c r="F343" s="35"/>
      <c r="G343" s="34" t="n">
        <f aca="false">MAX(0,$G$342-$C343-$F343)</f>
        <v>52114238</v>
      </c>
      <c r="H343" s="32" t="str">
        <f aca="false">IF($B343="","",TEXT($B343,"yyyy-mm"))</f>
        <v>2053-06</v>
      </c>
      <c r="I343" s="36" t="n">
        <f aca="false">IF($B$7="원리금균등",MAX(0,MIN($K$342,ROUND($B$11,0)-$J343)),IF($B$7="원금균등",MIN($K$342,ROUND($B$4/$B$6,0)),IF(322=$B$6,$K$342,0)))</f>
        <v>1280172</v>
      </c>
      <c r="J343" s="36" t="n">
        <f aca="false">ROUND($K$342*$B$10,0)</f>
        <v>186880</v>
      </c>
      <c r="K343" s="36" t="n">
        <f aca="false">MAX(0,$K$342-$I343)</f>
        <v>52114238</v>
      </c>
    </row>
    <row r="344" customFormat="false" ht="15" hidden="false" customHeight="false" outlineLevel="0" collapsed="false">
      <c r="A344" s="32" t="n">
        <f aca="false">IF(323&gt;$B$6,"",323)</f>
        <v>323</v>
      </c>
      <c r="B344" s="33" t="n">
        <f aca="false">IF($A344="","",EDATE($B$8,323-1))</f>
        <v>56066</v>
      </c>
      <c r="C344" s="34" t="n">
        <f aca="false">IF($B$7="원리금균등",MAX(0,MIN($G$343,ROUND($B$11,0)-$D344)),IF($B$7="원금균등",MIN($G$343,ROUND($B$4/$B$6,0)),IF(323=$B$6,$G$343,0)))</f>
        <v>1284652</v>
      </c>
      <c r="D344" s="34" t="n">
        <f aca="false">ROUND($G$343*$B$10,0)</f>
        <v>182400</v>
      </c>
      <c r="E344" s="34" t="n">
        <f aca="false">IF($A344="",0,$C344+$D344)</f>
        <v>1467052</v>
      </c>
      <c r="F344" s="35"/>
      <c r="G344" s="34" t="n">
        <f aca="false">MAX(0,$G$343-$C344-$F344)</f>
        <v>50829586</v>
      </c>
      <c r="H344" s="32" t="str">
        <f aca="false">IF($B344="","",TEXT($B344,"yyyy-mm"))</f>
        <v>2053-07</v>
      </c>
      <c r="I344" s="36" t="n">
        <f aca="false">IF($B$7="원리금균등",MAX(0,MIN($K$343,ROUND($B$11,0)-$J344)),IF($B$7="원금균등",MIN($K$343,ROUND($B$4/$B$6,0)),IF(323=$B$6,$K$343,0)))</f>
        <v>1284652</v>
      </c>
      <c r="J344" s="36" t="n">
        <f aca="false">ROUND($K$343*$B$10,0)</f>
        <v>182400</v>
      </c>
      <c r="K344" s="36" t="n">
        <f aca="false">MAX(0,$K$343-$I344)</f>
        <v>50829586</v>
      </c>
    </row>
    <row r="345" customFormat="false" ht="15" hidden="false" customHeight="false" outlineLevel="0" collapsed="false">
      <c r="A345" s="32" t="n">
        <f aca="false">IF(324&gt;$B$6,"",324)</f>
        <v>324</v>
      </c>
      <c r="B345" s="33" t="n">
        <f aca="false">IF($A345="","",EDATE($B$8,324-1))</f>
        <v>56097</v>
      </c>
      <c r="C345" s="34" t="n">
        <f aca="false">IF($B$7="원리금균등",MAX(0,MIN($G$344,ROUND($B$11,0)-$D345)),IF($B$7="원금균등",MIN($G$344,ROUND($B$4/$B$6,0)),IF(324=$B$6,$G$344,0)))</f>
        <v>1289148</v>
      </c>
      <c r="D345" s="34" t="n">
        <f aca="false">ROUND($G$344*$B$10,0)</f>
        <v>177904</v>
      </c>
      <c r="E345" s="34" t="n">
        <f aca="false">IF($A345="",0,$C345+$D345)</f>
        <v>1467052</v>
      </c>
      <c r="F345" s="35"/>
      <c r="G345" s="34" t="n">
        <f aca="false">MAX(0,$G$344-$C345-$F345)</f>
        <v>49540438</v>
      </c>
      <c r="H345" s="32" t="str">
        <f aca="false">IF($B345="","",TEXT($B345,"yyyy-mm"))</f>
        <v>2053-08</v>
      </c>
      <c r="I345" s="36" t="n">
        <f aca="false">IF($B$7="원리금균등",MAX(0,MIN($K$344,ROUND($B$11,0)-$J345)),IF($B$7="원금균등",MIN($K$344,ROUND($B$4/$B$6,0)),IF(324=$B$6,$K$344,0)))</f>
        <v>1289148</v>
      </c>
      <c r="J345" s="36" t="n">
        <f aca="false">ROUND($K$344*$B$10,0)</f>
        <v>177904</v>
      </c>
      <c r="K345" s="36" t="n">
        <f aca="false">MAX(0,$K$344-$I345)</f>
        <v>49540438</v>
      </c>
    </row>
    <row r="346" customFormat="false" ht="15" hidden="false" customHeight="false" outlineLevel="0" collapsed="false">
      <c r="A346" s="32" t="n">
        <f aca="false">IF(325&gt;$B$6,"",325)</f>
        <v>325</v>
      </c>
      <c r="B346" s="33" t="n">
        <f aca="false">IF($A346="","",EDATE($B$8,325-1))</f>
        <v>56128</v>
      </c>
      <c r="C346" s="34" t="n">
        <f aca="false">IF($B$7="원리금균등",MAX(0,MIN($G$345,ROUND($B$11,0)-$D346)),IF($B$7="원금균등",MIN($G$345,ROUND($B$4/$B$6,0)),IF(325=$B$6,$G$345,0)))</f>
        <v>1293660</v>
      </c>
      <c r="D346" s="34" t="n">
        <f aca="false">ROUND($G$345*$B$10,0)</f>
        <v>173392</v>
      </c>
      <c r="E346" s="34" t="n">
        <f aca="false">IF($A346="",0,$C346+$D346)</f>
        <v>1467052</v>
      </c>
      <c r="F346" s="35"/>
      <c r="G346" s="34" t="n">
        <f aca="false">MAX(0,$G$345-$C346-$F346)</f>
        <v>48246778</v>
      </c>
      <c r="H346" s="32" t="str">
        <f aca="false">IF($B346="","",TEXT($B346,"yyyy-mm"))</f>
        <v>2053-09</v>
      </c>
      <c r="I346" s="36" t="n">
        <f aca="false">IF($B$7="원리금균등",MAX(0,MIN($K$345,ROUND($B$11,0)-$J346)),IF($B$7="원금균등",MIN($K$345,ROUND($B$4/$B$6,0)),IF(325=$B$6,$K$345,0)))</f>
        <v>1293660</v>
      </c>
      <c r="J346" s="36" t="n">
        <f aca="false">ROUND($K$345*$B$10,0)</f>
        <v>173392</v>
      </c>
      <c r="K346" s="36" t="n">
        <f aca="false">MAX(0,$K$345-$I346)</f>
        <v>48246778</v>
      </c>
    </row>
    <row r="347" customFormat="false" ht="15" hidden="false" customHeight="false" outlineLevel="0" collapsed="false">
      <c r="A347" s="32" t="n">
        <f aca="false">IF(326&gt;$B$6,"",326)</f>
        <v>326</v>
      </c>
      <c r="B347" s="33" t="n">
        <f aca="false">IF($A347="","",EDATE($B$8,326-1))</f>
        <v>56158</v>
      </c>
      <c r="C347" s="34" t="n">
        <f aca="false">IF($B$7="원리금균등",MAX(0,MIN($G$346,ROUND($B$11,0)-$D347)),IF($B$7="원금균등",MIN($G$346,ROUND($B$4/$B$6,0)),IF(326=$B$6,$G$346,0)))</f>
        <v>1298188</v>
      </c>
      <c r="D347" s="34" t="n">
        <f aca="false">ROUND($G$346*$B$10,0)</f>
        <v>168864</v>
      </c>
      <c r="E347" s="34" t="n">
        <f aca="false">IF($A347="",0,$C347+$D347)</f>
        <v>1467052</v>
      </c>
      <c r="F347" s="35"/>
      <c r="G347" s="34" t="n">
        <f aca="false">MAX(0,$G$346-$C347-$F347)</f>
        <v>46948590</v>
      </c>
      <c r="H347" s="32" t="str">
        <f aca="false">IF($B347="","",TEXT($B347,"yyyy-mm"))</f>
        <v>2053-10</v>
      </c>
      <c r="I347" s="36" t="n">
        <f aca="false">IF($B$7="원리금균등",MAX(0,MIN($K$346,ROUND($B$11,0)-$J347)),IF($B$7="원금균등",MIN($K$346,ROUND($B$4/$B$6,0)),IF(326=$B$6,$K$346,0)))</f>
        <v>1298188</v>
      </c>
      <c r="J347" s="36" t="n">
        <f aca="false">ROUND($K$346*$B$10,0)</f>
        <v>168864</v>
      </c>
      <c r="K347" s="36" t="n">
        <f aca="false">MAX(0,$K$346-$I347)</f>
        <v>46948590</v>
      </c>
    </row>
    <row r="348" customFormat="false" ht="15" hidden="false" customHeight="false" outlineLevel="0" collapsed="false">
      <c r="A348" s="32" t="n">
        <f aca="false">IF(327&gt;$B$6,"",327)</f>
        <v>327</v>
      </c>
      <c r="B348" s="33" t="n">
        <f aca="false">IF($A348="","",EDATE($B$8,327-1))</f>
        <v>56189</v>
      </c>
      <c r="C348" s="34" t="n">
        <f aca="false">IF($B$7="원리금균등",MAX(0,MIN($G$347,ROUND($B$11,0)-$D348)),IF($B$7="원금균등",MIN($G$347,ROUND($B$4/$B$6,0)),IF(327=$B$6,$G$347,0)))</f>
        <v>1302732</v>
      </c>
      <c r="D348" s="34" t="n">
        <f aca="false">ROUND($G$347*$B$10,0)</f>
        <v>164320</v>
      </c>
      <c r="E348" s="34" t="n">
        <f aca="false">IF($A348="",0,$C348+$D348)</f>
        <v>1467052</v>
      </c>
      <c r="F348" s="35"/>
      <c r="G348" s="34" t="n">
        <f aca="false">MAX(0,$G$347-$C348-$F348)</f>
        <v>45645858</v>
      </c>
      <c r="H348" s="32" t="str">
        <f aca="false">IF($B348="","",TEXT($B348,"yyyy-mm"))</f>
        <v>2053-11</v>
      </c>
      <c r="I348" s="36" t="n">
        <f aca="false">IF($B$7="원리금균등",MAX(0,MIN($K$347,ROUND($B$11,0)-$J348)),IF($B$7="원금균등",MIN($K$347,ROUND($B$4/$B$6,0)),IF(327=$B$6,$K$347,0)))</f>
        <v>1302732</v>
      </c>
      <c r="J348" s="36" t="n">
        <f aca="false">ROUND($K$347*$B$10,0)</f>
        <v>164320</v>
      </c>
      <c r="K348" s="36" t="n">
        <f aca="false">MAX(0,$K$347-$I348)</f>
        <v>45645858</v>
      </c>
    </row>
    <row r="349" customFormat="false" ht="15" hidden="false" customHeight="false" outlineLevel="0" collapsed="false">
      <c r="A349" s="32" t="n">
        <f aca="false">IF(328&gt;$B$6,"",328)</f>
        <v>328</v>
      </c>
      <c r="B349" s="33" t="n">
        <f aca="false">IF($A349="","",EDATE($B$8,328-1))</f>
        <v>56219</v>
      </c>
      <c r="C349" s="34" t="n">
        <f aca="false">IF($B$7="원리금균등",MAX(0,MIN($G$348,ROUND($B$11,0)-$D349)),IF($B$7="원금균등",MIN($G$348,ROUND($B$4/$B$6,0)),IF(328=$B$6,$G$348,0)))</f>
        <v>1307291</v>
      </c>
      <c r="D349" s="34" t="n">
        <f aca="false">ROUND($G$348*$B$10,0)</f>
        <v>159761</v>
      </c>
      <c r="E349" s="34" t="n">
        <f aca="false">IF($A349="",0,$C349+$D349)</f>
        <v>1467052</v>
      </c>
      <c r="F349" s="35"/>
      <c r="G349" s="34" t="n">
        <f aca="false">MAX(0,$G$348-$C349-$F349)</f>
        <v>44338567</v>
      </c>
      <c r="H349" s="32" t="str">
        <f aca="false">IF($B349="","",TEXT($B349,"yyyy-mm"))</f>
        <v>2053-12</v>
      </c>
      <c r="I349" s="36" t="n">
        <f aca="false">IF($B$7="원리금균등",MAX(0,MIN($K$348,ROUND($B$11,0)-$J349)),IF($B$7="원금균등",MIN($K$348,ROUND($B$4/$B$6,0)),IF(328=$B$6,$K$348,0)))</f>
        <v>1307291</v>
      </c>
      <c r="J349" s="36" t="n">
        <f aca="false">ROUND($K$348*$B$10,0)</f>
        <v>159761</v>
      </c>
      <c r="K349" s="36" t="n">
        <f aca="false">MAX(0,$K$348-$I349)</f>
        <v>44338567</v>
      </c>
    </row>
    <row r="350" customFormat="false" ht="15" hidden="false" customHeight="false" outlineLevel="0" collapsed="false">
      <c r="A350" s="32" t="n">
        <f aca="false">IF(329&gt;$B$6,"",329)</f>
        <v>329</v>
      </c>
      <c r="B350" s="33" t="n">
        <f aca="false">IF($A350="","",EDATE($B$8,329-1))</f>
        <v>56250</v>
      </c>
      <c r="C350" s="34" t="n">
        <f aca="false">IF($B$7="원리금균등",MAX(0,MIN($G$349,ROUND($B$11,0)-$D350)),IF($B$7="원금균등",MIN($G$349,ROUND($B$4/$B$6,0)),IF(329=$B$6,$G$349,0)))</f>
        <v>1311867</v>
      </c>
      <c r="D350" s="34" t="n">
        <f aca="false">ROUND($G$349*$B$10,0)</f>
        <v>155185</v>
      </c>
      <c r="E350" s="34" t="n">
        <f aca="false">IF($A350="",0,$C350+$D350)</f>
        <v>1467052</v>
      </c>
      <c r="F350" s="35"/>
      <c r="G350" s="34" t="n">
        <f aca="false">MAX(0,$G$349-$C350-$F350)</f>
        <v>43026700</v>
      </c>
      <c r="H350" s="32" t="str">
        <f aca="false">IF($B350="","",TEXT($B350,"yyyy-mm"))</f>
        <v>2054-01</v>
      </c>
      <c r="I350" s="36" t="n">
        <f aca="false">IF($B$7="원리금균등",MAX(0,MIN($K$349,ROUND($B$11,0)-$J350)),IF($B$7="원금균등",MIN($K$349,ROUND($B$4/$B$6,0)),IF(329=$B$6,$K$349,0)))</f>
        <v>1311867</v>
      </c>
      <c r="J350" s="36" t="n">
        <f aca="false">ROUND($K$349*$B$10,0)</f>
        <v>155185</v>
      </c>
      <c r="K350" s="36" t="n">
        <f aca="false">MAX(0,$K$349-$I350)</f>
        <v>43026700</v>
      </c>
    </row>
    <row r="351" customFormat="false" ht="15" hidden="false" customHeight="false" outlineLevel="0" collapsed="false">
      <c r="A351" s="32" t="n">
        <f aca="false">IF(330&gt;$B$6,"",330)</f>
        <v>330</v>
      </c>
      <c r="B351" s="33" t="n">
        <f aca="false">IF($A351="","",EDATE($B$8,330-1))</f>
        <v>56281</v>
      </c>
      <c r="C351" s="34" t="n">
        <f aca="false">IF($B$7="원리금균등",MAX(0,MIN($G$350,ROUND($B$11,0)-$D351)),IF($B$7="원금균등",MIN($G$350,ROUND($B$4/$B$6,0)),IF(330=$B$6,$G$350,0)))</f>
        <v>1316459</v>
      </c>
      <c r="D351" s="34" t="n">
        <f aca="false">ROUND($G$350*$B$10,0)</f>
        <v>150593</v>
      </c>
      <c r="E351" s="34" t="n">
        <f aca="false">IF($A351="",0,$C351+$D351)</f>
        <v>1467052</v>
      </c>
      <c r="F351" s="35"/>
      <c r="G351" s="34" t="n">
        <f aca="false">MAX(0,$G$350-$C351-$F351)</f>
        <v>41710241</v>
      </c>
      <c r="H351" s="32" t="str">
        <f aca="false">IF($B351="","",TEXT($B351,"yyyy-mm"))</f>
        <v>2054-02</v>
      </c>
      <c r="I351" s="36" t="n">
        <f aca="false">IF($B$7="원리금균등",MAX(0,MIN($K$350,ROUND($B$11,0)-$J351)),IF($B$7="원금균등",MIN($K$350,ROUND($B$4/$B$6,0)),IF(330=$B$6,$K$350,0)))</f>
        <v>1316459</v>
      </c>
      <c r="J351" s="36" t="n">
        <f aca="false">ROUND($K$350*$B$10,0)</f>
        <v>150593</v>
      </c>
      <c r="K351" s="36" t="n">
        <f aca="false">MAX(0,$K$350-$I351)</f>
        <v>41710241</v>
      </c>
    </row>
    <row r="352" customFormat="false" ht="15" hidden="false" customHeight="false" outlineLevel="0" collapsed="false">
      <c r="A352" s="32" t="n">
        <f aca="false">IF(331&gt;$B$6,"",331)</f>
        <v>331</v>
      </c>
      <c r="B352" s="33" t="n">
        <f aca="false">IF($A352="","",EDATE($B$8,331-1))</f>
        <v>56309</v>
      </c>
      <c r="C352" s="34" t="n">
        <f aca="false">IF($B$7="원리금균등",MAX(0,MIN($G$351,ROUND($B$11,0)-$D352)),IF($B$7="원금균등",MIN($G$351,ROUND($B$4/$B$6,0)),IF(331=$B$6,$G$351,0)))</f>
        <v>1321066</v>
      </c>
      <c r="D352" s="34" t="n">
        <f aca="false">ROUND($G$351*$B$10,0)</f>
        <v>145986</v>
      </c>
      <c r="E352" s="34" t="n">
        <f aca="false">IF($A352="",0,$C352+$D352)</f>
        <v>1467052</v>
      </c>
      <c r="F352" s="35"/>
      <c r="G352" s="34" t="n">
        <f aca="false">MAX(0,$G$351-$C352-$F352)</f>
        <v>40389175</v>
      </c>
      <c r="H352" s="32" t="str">
        <f aca="false">IF($B352="","",TEXT($B352,"yyyy-mm"))</f>
        <v>2054-03</v>
      </c>
      <c r="I352" s="36" t="n">
        <f aca="false">IF($B$7="원리금균등",MAX(0,MIN($K$351,ROUND($B$11,0)-$J352)),IF($B$7="원금균등",MIN($K$351,ROUND($B$4/$B$6,0)),IF(331=$B$6,$K$351,0)))</f>
        <v>1321066</v>
      </c>
      <c r="J352" s="36" t="n">
        <f aca="false">ROUND($K$351*$B$10,0)</f>
        <v>145986</v>
      </c>
      <c r="K352" s="36" t="n">
        <f aca="false">MAX(0,$K$351-$I352)</f>
        <v>40389175</v>
      </c>
    </row>
    <row r="353" customFormat="false" ht="15" hidden="false" customHeight="false" outlineLevel="0" collapsed="false">
      <c r="A353" s="32" t="n">
        <f aca="false">IF(332&gt;$B$6,"",332)</f>
        <v>332</v>
      </c>
      <c r="B353" s="33" t="n">
        <f aca="false">IF($A353="","",EDATE($B$8,332-1))</f>
        <v>56340</v>
      </c>
      <c r="C353" s="34" t="n">
        <f aca="false">IF($B$7="원리금균등",MAX(0,MIN($G$352,ROUND($B$11,0)-$D353)),IF($B$7="원금균등",MIN($G$352,ROUND($B$4/$B$6,0)),IF(332=$B$6,$G$352,0)))</f>
        <v>1325690</v>
      </c>
      <c r="D353" s="34" t="n">
        <f aca="false">ROUND($G$352*$B$10,0)</f>
        <v>141362</v>
      </c>
      <c r="E353" s="34" t="n">
        <f aca="false">IF($A353="",0,$C353+$D353)</f>
        <v>1467052</v>
      </c>
      <c r="F353" s="35"/>
      <c r="G353" s="34" t="n">
        <f aca="false">MAX(0,$G$352-$C353-$F353)</f>
        <v>39063485</v>
      </c>
      <c r="H353" s="32" t="str">
        <f aca="false">IF($B353="","",TEXT($B353,"yyyy-mm"))</f>
        <v>2054-04</v>
      </c>
      <c r="I353" s="36" t="n">
        <f aca="false">IF($B$7="원리금균등",MAX(0,MIN($K$352,ROUND($B$11,0)-$J353)),IF($B$7="원금균등",MIN($K$352,ROUND($B$4/$B$6,0)),IF(332=$B$6,$K$352,0)))</f>
        <v>1325690</v>
      </c>
      <c r="J353" s="36" t="n">
        <f aca="false">ROUND($K$352*$B$10,0)</f>
        <v>141362</v>
      </c>
      <c r="K353" s="36" t="n">
        <f aca="false">MAX(0,$K$352-$I353)</f>
        <v>39063485</v>
      </c>
    </row>
    <row r="354" customFormat="false" ht="15" hidden="false" customHeight="false" outlineLevel="0" collapsed="false">
      <c r="A354" s="32" t="n">
        <f aca="false">IF(333&gt;$B$6,"",333)</f>
        <v>333</v>
      </c>
      <c r="B354" s="33" t="n">
        <f aca="false">IF($A354="","",EDATE($B$8,333-1))</f>
        <v>56370</v>
      </c>
      <c r="C354" s="34" t="n">
        <f aca="false">IF($B$7="원리금균등",MAX(0,MIN($G$353,ROUND($B$11,0)-$D354)),IF($B$7="원금균등",MIN($G$353,ROUND($B$4/$B$6,0)),IF(333=$B$6,$G$353,0)))</f>
        <v>1330330</v>
      </c>
      <c r="D354" s="34" t="n">
        <f aca="false">ROUND($G$353*$B$10,0)</f>
        <v>136722</v>
      </c>
      <c r="E354" s="34" t="n">
        <f aca="false">IF($A354="",0,$C354+$D354)</f>
        <v>1467052</v>
      </c>
      <c r="F354" s="35"/>
      <c r="G354" s="34" t="n">
        <f aca="false">MAX(0,$G$353-$C354-$F354)</f>
        <v>37733155</v>
      </c>
      <c r="H354" s="32" t="str">
        <f aca="false">IF($B354="","",TEXT($B354,"yyyy-mm"))</f>
        <v>2054-05</v>
      </c>
      <c r="I354" s="36" t="n">
        <f aca="false">IF($B$7="원리금균등",MAX(0,MIN($K$353,ROUND($B$11,0)-$J354)),IF($B$7="원금균등",MIN($K$353,ROUND($B$4/$B$6,0)),IF(333=$B$6,$K$353,0)))</f>
        <v>1330330</v>
      </c>
      <c r="J354" s="36" t="n">
        <f aca="false">ROUND($K$353*$B$10,0)</f>
        <v>136722</v>
      </c>
      <c r="K354" s="36" t="n">
        <f aca="false">MAX(0,$K$353-$I354)</f>
        <v>37733155</v>
      </c>
    </row>
    <row r="355" customFormat="false" ht="15" hidden="false" customHeight="false" outlineLevel="0" collapsed="false">
      <c r="A355" s="32" t="n">
        <f aca="false">IF(334&gt;$B$6,"",334)</f>
        <v>334</v>
      </c>
      <c r="B355" s="33" t="n">
        <f aca="false">IF($A355="","",EDATE($B$8,334-1))</f>
        <v>56401</v>
      </c>
      <c r="C355" s="34" t="n">
        <f aca="false">IF($B$7="원리금균등",MAX(0,MIN($G$354,ROUND($B$11,0)-$D355)),IF($B$7="원금균등",MIN($G$354,ROUND($B$4/$B$6,0)),IF(334=$B$6,$G$354,0)))</f>
        <v>1334986</v>
      </c>
      <c r="D355" s="34" t="n">
        <f aca="false">ROUND($G$354*$B$10,0)</f>
        <v>132066</v>
      </c>
      <c r="E355" s="34" t="n">
        <f aca="false">IF($A355="",0,$C355+$D355)</f>
        <v>1467052</v>
      </c>
      <c r="F355" s="35"/>
      <c r="G355" s="34" t="n">
        <f aca="false">MAX(0,$G$354-$C355-$F355)</f>
        <v>36398169</v>
      </c>
      <c r="H355" s="32" t="str">
        <f aca="false">IF($B355="","",TEXT($B355,"yyyy-mm"))</f>
        <v>2054-06</v>
      </c>
      <c r="I355" s="36" t="n">
        <f aca="false">IF($B$7="원리금균등",MAX(0,MIN($K$354,ROUND($B$11,0)-$J355)),IF($B$7="원금균등",MIN($K$354,ROUND($B$4/$B$6,0)),IF(334=$B$6,$K$354,0)))</f>
        <v>1334986</v>
      </c>
      <c r="J355" s="36" t="n">
        <f aca="false">ROUND($K$354*$B$10,0)</f>
        <v>132066</v>
      </c>
      <c r="K355" s="36" t="n">
        <f aca="false">MAX(0,$K$354-$I355)</f>
        <v>36398169</v>
      </c>
    </row>
    <row r="356" customFormat="false" ht="15" hidden="false" customHeight="false" outlineLevel="0" collapsed="false">
      <c r="A356" s="32" t="n">
        <f aca="false">IF(335&gt;$B$6,"",335)</f>
        <v>335</v>
      </c>
      <c r="B356" s="33" t="n">
        <f aca="false">IF($A356="","",EDATE($B$8,335-1))</f>
        <v>56431</v>
      </c>
      <c r="C356" s="34" t="n">
        <f aca="false">IF($B$7="원리금균등",MAX(0,MIN($G$355,ROUND($B$11,0)-$D356)),IF($B$7="원금균등",MIN($G$355,ROUND($B$4/$B$6,0)),IF(335=$B$6,$G$355,0)))</f>
        <v>1339658</v>
      </c>
      <c r="D356" s="34" t="n">
        <f aca="false">ROUND($G$355*$B$10,0)</f>
        <v>127394</v>
      </c>
      <c r="E356" s="34" t="n">
        <f aca="false">IF($A356="",0,$C356+$D356)</f>
        <v>1467052</v>
      </c>
      <c r="F356" s="35"/>
      <c r="G356" s="34" t="n">
        <f aca="false">MAX(0,$G$355-$C356-$F356)</f>
        <v>35058511</v>
      </c>
      <c r="H356" s="32" t="str">
        <f aca="false">IF($B356="","",TEXT($B356,"yyyy-mm"))</f>
        <v>2054-07</v>
      </c>
      <c r="I356" s="36" t="n">
        <f aca="false">IF($B$7="원리금균등",MAX(0,MIN($K$355,ROUND($B$11,0)-$J356)),IF($B$7="원금균등",MIN($K$355,ROUND($B$4/$B$6,0)),IF(335=$B$6,$K$355,0)))</f>
        <v>1339658</v>
      </c>
      <c r="J356" s="36" t="n">
        <f aca="false">ROUND($K$355*$B$10,0)</f>
        <v>127394</v>
      </c>
      <c r="K356" s="36" t="n">
        <f aca="false">MAX(0,$K$355-$I356)</f>
        <v>35058511</v>
      </c>
    </row>
    <row r="357" customFormat="false" ht="15" hidden="false" customHeight="false" outlineLevel="0" collapsed="false">
      <c r="A357" s="32" t="n">
        <f aca="false">IF(336&gt;$B$6,"",336)</f>
        <v>336</v>
      </c>
      <c r="B357" s="33" t="n">
        <f aca="false">IF($A357="","",EDATE($B$8,336-1))</f>
        <v>56462</v>
      </c>
      <c r="C357" s="34" t="n">
        <f aca="false">IF($B$7="원리금균등",MAX(0,MIN($G$356,ROUND($B$11,0)-$D357)),IF($B$7="원금균등",MIN($G$356,ROUND($B$4/$B$6,0)),IF(336=$B$6,$G$356,0)))</f>
        <v>1344347</v>
      </c>
      <c r="D357" s="34" t="n">
        <f aca="false">ROUND($G$356*$B$10,0)</f>
        <v>122705</v>
      </c>
      <c r="E357" s="34" t="n">
        <f aca="false">IF($A357="",0,$C357+$D357)</f>
        <v>1467052</v>
      </c>
      <c r="F357" s="35"/>
      <c r="G357" s="34" t="n">
        <f aca="false">MAX(0,$G$356-$C357-$F357)</f>
        <v>33714164</v>
      </c>
      <c r="H357" s="32" t="str">
        <f aca="false">IF($B357="","",TEXT($B357,"yyyy-mm"))</f>
        <v>2054-08</v>
      </c>
      <c r="I357" s="36" t="n">
        <f aca="false">IF($B$7="원리금균등",MAX(0,MIN($K$356,ROUND($B$11,0)-$J357)),IF($B$7="원금균등",MIN($K$356,ROUND($B$4/$B$6,0)),IF(336=$B$6,$K$356,0)))</f>
        <v>1344347</v>
      </c>
      <c r="J357" s="36" t="n">
        <f aca="false">ROUND($K$356*$B$10,0)</f>
        <v>122705</v>
      </c>
      <c r="K357" s="36" t="n">
        <f aca="false">MAX(0,$K$356-$I357)</f>
        <v>33714164</v>
      </c>
    </row>
    <row r="358" customFormat="false" ht="15" hidden="false" customHeight="false" outlineLevel="0" collapsed="false">
      <c r="A358" s="32" t="n">
        <f aca="false">IF(337&gt;$B$6,"",337)</f>
        <v>337</v>
      </c>
      <c r="B358" s="33" t="n">
        <f aca="false">IF($A358="","",EDATE($B$8,337-1))</f>
        <v>56493</v>
      </c>
      <c r="C358" s="34" t="n">
        <f aca="false">IF($B$7="원리금균등",MAX(0,MIN($G$357,ROUND($B$11,0)-$D358)),IF($B$7="원금균등",MIN($G$357,ROUND($B$4/$B$6,0)),IF(337=$B$6,$G$357,0)))</f>
        <v>1349052</v>
      </c>
      <c r="D358" s="34" t="n">
        <f aca="false">ROUND($G$357*$B$10,0)</f>
        <v>118000</v>
      </c>
      <c r="E358" s="34" t="n">
        <f aca="false">IF($A358="",0,$C358+$D358)</f>
        <v>1467052</v>
      </c>
      <c r="F358" s="35"/>
      <c r="G358" s="34" t="n">
        <f aca="false">MAX(0,$G$357-$C358-$F358)</f>
        <v>32365112</v>
      </c>
      <c r="H358" s="32" t="str">
        <f aca="false">IF($B358="","",TEXT($B358,"yyyy-mm"))</f>
        <v>2054-09</v>
      </c>
      <c r="I358" s="36" t="n">
        <f aca="false">IF($B$7="원리금균등",MAX(0,MIN($K$357,ROUND($B$11,0)-$J358)),IF($B$7="원금균등",MIN($K$357,ROUND($B$4/$B$6,0)),IF(337=$B$6,$K$357,0)))</f>
        <v>1349052</v>
      </c>
      <c r="J358" s="36" t="n">
        <f aca="false">ROUND($K$357*$B$10,0)</f>
        <v>118000</v>
      </c>
      <c r="K358" s="36" t="n">
        <f aca="false">MAX(0,$K$357-$I358)</f>
        <v>32365112</v>
      </c>
    </row>
    <row r="359" customFormat="false" ht="15" hidden="false" customHeight="false" outlineLevel="0" collapsed="false">
      <c r="A359" s="32" t="n">
        <f aca="false">IF(338&gt;$B$6,"",338)</f>
        <v>338</v>
      </c>
      <c r="B359" s="33" t="n">
        <f aca="false">IF($A359="","",EDATE($B$8,338-1))</f>
        <v>56523</v>
      </c>
      <c r="C359" s="34" t="n">
        <f aca="false">IF($B$7="원리금균등",MAX(0,MIN($G$358,ROUND($B$11,0)-$D359)),IF($B$7="원금균등",MIN($G$358,ROUND($B$4/$B$6,0)),IF(338=$B$6,$G$358,0)))</f>
        <v>1353774</v>
      </c>
      <c r="D359" s="34" t="n">
        <f aca="false">ROUND($G$358*$B$10,0)</f>
        <v>113278</v>
      </c>
      <c r="E359" s="34" t="n">
        <f aca="false">IF($A359="",0,$C359+$D359)</f>
        <v>1467052</v>
      </c>
      <c r="F359" s="35"/>
      <c r="G359" s="34" t="n">
        <f aca="false">MAX(0,$G$358-$C359-$F359)</f>
        <v>31011338</v>
      </c>
      <c r="H359" s="32" t="str">
        <f aca="false">IF($B359="","",TEXT($B359,"yyyy-mm"))</f>
        <v>2054-10</v>
      </c>
      <c r="I359" s="36" t="n">
        <f aca="false">IF($B$7="원리금균등",MAX(0,MIN($K$358,ROUND($B$11,0)-$J359)),IF($B$7="원금균등",MIN($K$358,ROUND($B$4/$B$6,0)),IF(338=$B$6,$K$358,0)))</f>
        <v>1353774</v>
      </c>
      <c r="J359" s="36" t="n">
        <f aca="false">ROUND($K$358*$B$10,0)</f>
        <v>113278</v>
      </c>
      <c r="K359" s="36" t="n">
        <f aca="false">MAX(0,$K$358-$I359)</f>
        <v>31011338</v>
      </c>
    </row>
    <row r="360" customFormat="false" ht="15" hidden="false" customHeight="false" outlineLevel="0" collapsed="false">
      <c r="A360" s="32" t="n">
        <f aca="false">IF(339&gt;$B$6,"",339)</f>
        <v>339</v>
      </c>
      <c r="B360" s="33" t="n">
        <f aca="false">IF($A360="","",EDATE($B$8,339-1))</f>
        <v>56554</v>
      </c>
      <c r="C360" s="34" t="n">
        <f aca="false">IF($B$7="원리금균등",MAX(0,MIN($G$359,ROUND($B$11,0)-$D360)),IF($B$7="원금균등",MIN($G$359,ROUND($B$4/$B$6,0)),IF(339=$B$6,$G$359,0)))</f>
        <v>1358512</v>
      </c>
      <c r="D360" s="34" t="n">
        <f aca="false">ROUND($G$359*$B$10,0)</f>
        <v>108540</v>
      </c>
      <c r="E360" s="34" t="n">
        <f aca="false">IF($A360="",0,$C360+$D360)</f>
        <v>1467052</v>
      </c>
      <c r="F360" s="35"/>
      <c r="G360" s="34" t="n">
        <f aca="false">MAX(0,$G$359-$C360-$F360)</f>
        <v>29652826</v>
      </c>
      <c r="H360" s="32" t="str">
        <f aca="false">IF($B360="","",TEXT($B360,"yyyy-mm"))</f>
        <v>2054-11</v>
      </c>
      <c r="I360" s="36" t="n">
        <f aca="false">IF($B$7="원리금균등",MAX(0,MIN($K$359,ROUND($B$11,0)-$J360)),IF($B$7="원금균등",MIN($K$359,ROUND($B$4/$B$6,0)),IF(339=$B$6,$K$359,0)))</f>
        <v>1358512</v>
      </c>
      <c r="J360" s="36" t="n">
        <f aca="false">ROUND($K$359*$B$10,0)</f>
        <v>108540</v>
      </c>
      <c r="K360" s="36" t="n">
        <f aca="false">MAX(0,$K$359-$I360)</f>
        <v>29652826</v>
      </c>
    </row>
    <row r="361" customFormat="false" ht="15" hidden="false" customHeight="false" outlineLevel="0" collapsed="false">
      <c r="A361" s="32" t="n">
        <f aca="false">IF(340&gt;$B$6,"",340)</f>
        <v>340</v>
      </c>
      <c r="B361" s="33" t="n">
        <f aca="false">IF($A361="","",EDATE($B$8,340-1))</f>
        <v>56584</v>
      </c>
      <c r="C361" s="34" t="n">
        <f aca="false">IF($B$7="원리금균등",MAX(0,MIN($G$360,ROUND($B$11,0)-$D361)),IF($B$7="원금균등",MIN($G$360,ROUND($B$4/$B$6,0)),IF(340=$B$6,$G$360,0)))</f>
        <v>1363267</v>
      </c>
      <c r="D361" s="34" t="n">
        <f aca="false">ROUND($G$360*$B$10,0)</f>
        <v>103785</v>
      </c>
      <c r="E361" s="34" t="n">
        <f aca="false">IF($A361="",0,$C361+$D361)</f>
        <v>1467052</v>
      </c>
      <c r="F361" s="35"/>
      <c r="G361" s="34" t="n">
        <f aca="false">MAX(0,$G$360-$C361-$F361)</f>
        <v>28289559</v>
      </c>
      <c r="H361" s="32" t="str">
        <f aca="false">IF($B361="","",TEXT($B361,"yyyy-mm"))</f>
        <v>2054-12</v>
      </c>
      <c r="I361" s="36" t="n">
        <f aca="false">IF($B$7="원리금균등",MAX(0,MIN($K$360,ROUND($B$11,0)-$J361)),IF($B$7="원금균등",MIN($K$360,ROUND($B$4/$B$6,0)),IF(340=$B$6,$K$360,0)))</f>
        <v>1363267</v>
      </c>
      <c r="J361" s="36" t="n">
        <f aca="false">ROUND($K$360*$B$10,0)</f>
        <v>103785</v>
      </c>
      <c r="K361" s="36" t="n">
        <f aca="false">MAX(0,$K$360-$I361)</f>
        <v>28289559</v>
      </c>
    </row>
    <row r="362" customFormat="false" ht="15" hidden="false" customHeight="false" outlineLevel="0" collapsed="false">
      <c r="A362" s="32" t="n">
        <f aca="false">IF(341&gt;$B$6,"",341)</f>
        <v>341</v>
      </c>
      <c r="B362" s="33" t="n">
        <f aca="false">IF($A362="","",EDATE($B$8,341-1))</f>
        <v>56615</v>
      </c>
      <c r="C362" s="34" t="n">
        <f aca="false">IF($B$7="원리금균등",MAX(0,MIN($G$361,ROUND($B$11,0)-$D362)),IF($B$7="원금균등",MIN($G$361,ROUND($B$4/$B$6,0)),IF(341=$B$6,$G$361,0)))</f>
        <v>1368039</v>
      </c>
      <c r="D362" s="34" t="n">
        <f aca="false">ROUND($G$361*$B$10,0)</f>
        <v>99013</v>
      </c>
      <c r="E362" s="34" t="n">
        <f aca="false">IF($A362="",0,$C362+$D362)</f>
        <v>1467052</v>
      </c>
      <c r="F362" s="35"/>
      <c r="G362" s="34" t="n">
        <f aca="false">MAX(0,$G$361-$C362-$F362)</f>
        <v>26921520</v>
      </c>
      <c r="H362" s="32" t="str">
        <f aca="false">IF($B362="","",TEXT($B362,"yyyy-mm"))</f>
        <v>2055-01</v>
      </c>
      <c r="I362" s="36" t="n">
        <f aca="false">IF($B$7="원리금균등",MAX(0,MIN($K$361,ROUND($B$11,0)-$J362)),IF($B$7="원금균등",MIN($K$361,ROUND($B$4/$B$6,0)),IF(341=$B$6,$K$361,0)))</f>
        <v>1368039</v>
      </c>
      <c r="J362" s="36" t="n">
        <f aca="false">ROUND($K$361*$B$10,0)</f>
        <v>99013</v>
      </c>
      <c r="K362" s="36" t="n">
        <f aca="false">MAX(0,$K$361-$I362)</f>
        <v>26921520</v>
      </c>
    </row>
    <row r="363" customFormat="false" ht="15" hidden="false" customHeight="false" outlineLevel="0" collapsed="false">
      <c r="A363" s="32" t="n">
        <f aca="false">IF(342&gt;$B$6,"",342)</f>
        <v>342</v>
      </c>
      <c r="B363" s="33" t="n">
        <f aca="false">IF($A363="","",EDATE($B$8,342-1))</f>
        <v>56646</v>
      </c>
      <c r="C363" s="34" t="n">
        <f aca="false">IF($B$7="원리금균등",MAX(0,MIN($G$362,ROUND($B$11,0)-$D363)),IF($B$7="원금균등",MIN($G$362,ROUND($B$4/$B$6,0)),IF(342=$B$6,$G$362,0)))</f>
        <v>1372827</v>
      </c>
      <c r="D363" s="34" t="n">
        <f aca="false">ROUND($G$362*$B$10,0)</f>
        <v>94225</v>
      </c>
      <c r="E363" s="34" t="n">
        <f aca="false">IF($A363="",0,$C363+$D363)</f>
        <v>1467052</v>
      </c>
      <c r="F363" s="35"/>
      <c r="G363" s="34" t="n">
        <f aca="false">MAX(0,$G$362-$C363-$F363)</f>
        <v>25548693</v>
      </c>
      <c r="H363" s="32" t="str">
        <f aca="false">IF($B363="","",TEXT($B363,"yyyy-mm"))</f>
        <v>2055-02</v>
      </c>
      <c r="I363" s="36" t="n">
        <f aca="false">IF($B$7="원리금균등",MAX(0,MIN($K$362,ROUND($B$11,0)-$J363)),IF($B$7="원금균등",MIN($K$362,ROUND($B$4/$B$6,0)),IF(342=$B$6,$K$362,0)))</f>
        <v>1372827</v>
      </c>
      <c r="J363" s="36" t="n">
        <f aca="false">ROUND($K$362*$B$10,0)</f>
        <v>94225</v>
      </c>
      <c r="K363" s="36" t="n">
        <f aca="false">MAX(0,$K$362-$I363)</f>
        <v>25548693</v>
      </c>
    </row>
    <row r="364" customFormat="false" ht="15" hidden="false" customHeight="false" outlineLevel="0" collapsed="false">
      <c r="A364" s="32" t="n">
        <f aca="false">IF(343&gt;$B$6,"",343)</f>
        <v>343</v>
      </c>
      <c r="B364" s="33" t="n">
        <f aca="false">IF($A364="","",EDATE($B$8,343-1))</f>
        <v>56674</v>
      </c>
      <c r="C364" s="34" t="n">
        <f aca="false">IF($B$7="원리금균등",MAX(0,MIN($G$363,ROUND($B$11,0)-$D364)),IF($B$7="원금균등",MIN($G$363,ROUND($B$4/$B$6,0)),IF(343=$B$6,$G$363,0)))</f>
        <v>1377632</v>
      </c>
      <c r="D364" s="34" t="n">
        <f aca="false">ROUND($G$363*$B$10,0)</f>
        <v>89420</v>
      </c>
      <c r="E364" s="34" t="n">
        <f aca="false">IF($A364="",0,$C364+$D364)</f>
        <v>1467052</v>
      </c>
      <c r="F364" s="35"/>
      <c r="G364" s="34" t="n">
        <f aca="false">MAX(0,$G$363-$C364-$F364)</f>
        <v>24171061</v>
      </c>
      <c r="H364" s="32" t="str">
        <f aca="false">IF($B364="","",TEXT($B364,"yyyy-mm"))</f>
        <v>2055-03</v>
      </c>
      <c r="I364" s="36" t="n">
        <f aca="false">IF($B$7="원리금균등",MAX(0,MIN($K$363,ROUND($B$11,0)-$J364)),IF($B$7="원금균등",MIN($K$363,ROUND($B$4/$B$6,0)),IF(343=$B$6,$K$363,0)))</f>
        <v>1377632</v>
      </c>
      <c r="J364" s="36" t="n">
        <f aca="false">ROUND($K$363*$B$10,0)</f>
        <v>89420</v>
      </c>
      <c r="K364" s="36" t="n">
        <f aca="false">MAX(0,$K$363-$I364)</f>
        <v>24171061</v>
      </c>
    </row>
    <row r="365" customFormat="false" ht="15" hidden="false" customHeight="false" outlineLevel="0" collapsed="false">
      <c r="A365" s="32" t="n">
        <f aca="false">IF(344&gt;$B$6,"",344)</f>
        <v>344</v>
      </c>
      <c r="B365" s="33" t="n">
        <f aca="false">IF($A365="","",EDATE($B$8,344-1))</f>
        <v>56705</v>
      </c>
      <c r="C365" s="34" t="n">
        <f aca="false">IF($B$7="원리금균등",MAX(0,MIN($G$364,ROUND($B$11,0)-$D365)),IF($B$7="원금균등",MIN($G$364,ROUND($B$4/$B$6,0)),IF(344=$B$6,$G$364,0)))</f>
        <v>1382453</v>
      </c>
      <c r="D365" s="34" t="n">
        <f aca="false">ROUND($G$364*$B$10,0)</f>
        <v>84599</v>
      </c>
      <c r="E365" s="34" t="n">
        <f aca="false">IF($A365="",0,$C365+$D365)</f>
        <v>1467052</v>
      </c>
      <c r="F365" s="35"/>
      <c r="G365" s="34" t="n">
        <f aca="false">MAX(0,$G$364-$C365-$F365)</f>
        <v>22788608</v>
      </c>
      <c r="H365" s="32" t="str">
        <f aca="false">IF($B365="","",TEXT($B365,"yyyy-mm"))</f>
        <v>2055-04</v>
      </c>
      <c r="I365" s="36" t="n">
        <f aca="false">IF($B$7="원리금균등",MAX(0,MIN($K$364,ROUND($B$11,0)-$J365)),IF($B$7="원금균등",MIN($K$364,ROUND($B$4/$B$6,0)),IF(344=$B$6,$K$364,0)))</f>
        <v>1382453</v>
      </c>
      <c r="J365" s="36" t="n">
        <f aca="false">ROUND($K$364*$B$10,0)</f>
        <v>84599</v>
      </c>
      <c r="K365" s="36" t="n">
        <f aca="false">MAX(0,$K$364-$I365)</f>
        <v>22788608</v>
      </c>
    </row>
    <row r="366" customFormat="false" ht="15" hidden="false" customHeight="false" outlineLevel="0" collapsed="false">
      <c r="A366" s="32" t="n">
        <f aca="false">IF(345&gt;$B$6,"",345)</f>
        <v>345</v>
      </c>
      <c r="B366" s="33" t="n">
        <f aca="false">IF($A366="","",EDATE($B$8,345-1))</f>
        <v>56735</v>
      </c>
      <c r="C366" s="34" t="n">
        <f aca="false">IF($B$7="원리금균등",MAX(0,MIN($G$365,ROUND($B$11,0)-$D366)),IF($B$7="원금균등",MIN($G$365,ROUND($B$4/$B$6,0)),IF(345=$B$6,$G$365,0)))</f>
        <v>1387292</v>
      </c>
      <c r="D366" s="34" t="n">
        <f aca="false">ROUND($G$365*$B$10,0)</f>
        <v>79760</v>
      </c>
      <c r="E366" s="34" t="n">
        <f aca="false">IF($A366="",0,$C366+$D366)</f>
        <v>1467052</v>
      </c>
      <c r="F366" s="35"/>
      <c r="G366" s="34" t="n">
        <f aca="false">MAX(0,$G$365-$C366-$F366)</f>
        <v>21401316</v>
      </c>
      <c r="H366" s="32" t="str">
        <f aca="false">IF($B366="","",TEXT($B366,"yyyy-mm"))</f>
        <v>2055-05</v>
      </c>
      <c r="I366" s="36" t="n">
        <f aca="false">IF($B$7="원리금균등",MAX(0,MIN($K$365,ROUND($B$11,0)-$J366)),IF($B$7="원금균등",MIN($K$365,ROUND($B$4/$B$6,0)),IF(345=$B$6,$K$365,0)))</f>
        <v>1387292</v>
      </c>
      <c r="J366" s="36" t="n">
        <f aca="false">ROUND($K$365*$B$10,0)</f>
        <v>79760</v>
      </c>
      <c r="K366" s="36" t="n">
        <f aca="false">MAX(0,$K$365-$I366)</f>
        <v>21401316</v>
      </c>
    </row>
    <row r="367" customFormat="false" ht="15" hidden="false" customHeight="false" outlineLevel="0" collapsed="false">
      <c r="A367" s="32" t="n">
        <f aca="false">IF(346&gt;$B$6,"",346)</f>
        <v>346</v>
      </c>
      <c r="B367" s="33" t="n">
        <f aca="false">IF($A367="","",EDATE($B$8,346-1))</f>
        <v>56766</v>
      </c>
      <c r="C367" s="34" t="n">
        <f aca="false">IF($B$7="원리금균등",MAX(0,MIN($G$366,ROUND($B$11,0)-$D367)),IF($B$7="원금균등",MIN($G$366,ROUND($B$4/$B$6,0)),IF(346=$B$6,$G$366,0)))</f>
        <v>1392147</v>
      </c>
      <c r="D367" s="34" t="n">
        <f aca="false">ROUND($G$366*$B$10,0)</f>
        <v>74905</v>
      </c>
      <c r="E367" s="34" t="n">
        <f aca="false">IF($A367="",0,$C367+$D367)</f>
        <v>1467052</v>
      </c>
      <c r="F367" s="35"/>
      <c r="G367" s="34" t="n">
        <f aca="false">MAX(0,$G$366-$C367-$F367)</f>
        <v>20009169</v>
      </c>
      <c r="H367" s="32" t="str">
        <f aca="false">IF($B367="","",TEXT($B367,"yyyy-mm"))</f>
        <v>2055-06</v>
      </c>
      <c r="I367" s="36" t="n">
        <f aca="false">IF($B$7="원리금균등",MAX(0,MIN($K$366,ROUND($B$11,0)-$J367)),IF($B$7="원금균등",MIN($K$366,ROUND($B$4/$B$6,0)),IF(346=$B$6,$K$366,0)))</f>
        <v>1392147</v>
      </c>
      <c r="J367" s="36" t="n">
        <f aca="false">ROUND($K$366*$B$10,0)</f>
        <v>74905</v>
      </c>
      <c r="K367" s="36" t="n">
        <f aca="false">MAX(0,$K$366-$I367)</f>
        <v>20009169</v>
      </c>
    </row>
    <row r="368" customFormat="false" ht="15" hidden="false" customHeight="false" outlineLevel="0" collapsed="false">
      <c r="A368" s="32" t="n">
        <f aca="false">IF(347&gt;$B$6,"",347)</f>
        <v>347</v>
      </c>
      <c r="B368" s="33" t="n">
        <f aca="false">IF($A368="","",EDATE($B$8,347-1))</f>
        <v>56796</v>
      </c>
      <c r="C368" s="34" t="n">
        <f aca="false">IF($B$7="원리금균등",MAX(0,MIN($G$367,ROUND($B$11,0)-$D368)),IF($B$7="원금균등",MIN($G$367,ROUND($B$4/$B$6,0)),IF(347=$B$6,$G$367,0)))</f>
        <v>1397020</v>
      </c>
      <c r="D368" s="34" t="n">
        <f aca="false">ROUND($G$367*$B$10,0)</f>
        <v>70032</v>
      </c>
      <c r="E368" s="34" t="n">
        <f aca="false">IF($A368="",0,$C368+$D368)</f>
        <v>1467052</v>
      </c>
      <c r="F368" s="35"/>
      <c r="G368" s="34" t="n">
        <f aca="false">MAX(0,$G$367-$C368-$F368)</f>
        <v>18612149</v>
      </c>
      <c r="H368" s="32" t="str">
        <f aca="false">IF($B368="","",TEXT($B368,"yyyy-mm"))</f>
        <v>2055-07</v>
      </c>
      <c r="I368" s="36" t="n">
        <f aca="false">IF($B$7="원리금균등",MAX(0,MIN($K$367,ROUND($B$11,0)-$J368)),IF($B$7="원금균등",MIN($K$367,ROUND($B$4/$B$6,0)),IF(347=$B$6,$K$367,0)))</f>
        <v>1397020</v>
      </c>
      <c r="J368" s="36" t="n">
        <f aca="false">ROUND($K$367*$B$10,0)</f>
        <v>70032</v>
      </c>
      <c r="K368" s="36" t="n">
        <f aca="false">MAX(0,$K$367-$I368)</f>
        <v>18612149</v>
      </c>
    </row>
    <row r="369" customFormat="false" ht="15" hidden="false" customHeight="false" outlineLevel="0" collapsed="false">
      <c r="A369" s="32" t="n">
        <f aca="false">IF(348&gt;$B$6,"",348)</f>
        <v>348</v>
      </c>
      <c r="B369" s="33" t="n">
        <f aca="false">IF($A369="","",EDATE($B$8,348-1))</f>
        <v>56827</v>
      </c>
      <c r="C369" s="34" t="n">
        <f aca="false">IF($B$7="원리금균등",MAX(0,MIN($G$368,ROUND($B$11,0)-$D369)),IF($B$7="원금균등",MIN($G$368,ROUND($B$4/$B$6,0)),IF(348=$B$6,$G$368,0)))</f>
        <v>1401909</v>
      </c>
      <c r="D369" s="34" t="n">
        <f aca="false">ROUND($G$368*$B$10,0)</f>
        <v>65143</v>
      </c>
      <c r="E369" s="34" t="n">
        <f aca="false">IF($A369="",0,$C369+$D369)</f>
        <v>1467052</v>
      </c>
      <c r="F369" s="35"/>
      <c r="G369" s="34" t="n">
        <f aca="false">MAX(0,$G$368-$C369-$F369)</f>
        <v>17210240</v>
      </c>
      <c r="H369" s="32" t="str">
        <f aca="false">IF($B369="","",TEXT($B369,"yyyy-mm"))</f>
        <v>2055-08</v>
      </c>
      <c r="I369" s="36" t="n">
        <f aca="false">IF($B$7="원리금균등",MAX(0,MIN($K$368,ROUND($B$11,0)-$J369)),IF($B$7="원금균등",MIN($K$368,ROUND($B$4/$B$6,0)),IF(348=$B$6,$K$368,0)))</f>
        <v>1401909</v>
      </c>
      <c r="J369" s="36" t="n">
        <f aca="false">ROUND($K$368*$B$10,0)</f>
        <v>65143</v>
      </c>
      <c r="K369" s="36" t="n">
        <f aca="false">MAX(0,$K$368-$I369)</f>
        <v>17210240</v>
      </c>
    </row>
    <row r="370" customFormat="false" ht="15" hidden="false" customHeight="false" outlineLevel="0" collapsed="false">
      <c r="A370" s="32" t="n">
        <f aca="false">IF(349&gt;$B$6,"",349)</f>
        <v>349</v>
      </c>
      <c r="B370" s="33" t="n">
        <f aca="false">IF($A370="","",EDATE($B$8,349-1))</f>
        <v>56858</v>
      </c>
      <c r="C370" s="34" t="n">
        <f aca="false">IF($B$7="원리금균등",MAX(0,MIN($G$369,ROUND($B$11,0)-$D370)),IF($B$7="원금균등",MIN($G$369,ROUND($B$4/$B$6,0)),IF(349=$B$6,$G$369,0)))</f>
        <v>1406816</v>
      </c>
      <c r="D370" s="34" t="n">
        <f aca="false">ROUND($G$369*$B$10,0)</f>
        <v>60236</v>
      </c>
      <c r="E370" s="34" t="n">
        <f aca="false">IF($A370="",0,$C370+$D370)</f>
        <v>1467052</v>
      </c>
      <c r="F370" s="35"/>
      <c r="G370" s="34" t="n">
        <f aca="false">MAX(0,$G$369-$C370-$F370)</f>
        <v>15803424</v>
      </c>
      <c r="H370" s="32" t="str">
        <f aca="false">IF($B370="","",TEXT($B370,"yyyy-mm"))</f>
        <v>2055-09</v>
      </c>
      <c r="I370" s="36" t="n">
        <f aca="false">IF($B$7="원리금균등",MAX(0,MIN($K$369,ROUND($B$11,0)-$J370)),IF($B$7="원금균등",MIN($K$369,ROUND($B$4/$B$6,0)),IF(349=$B$6,$K$369,0)))</f>
        <v>1406816</v>
      </c>
      <c r="J370" s="36" t="n">
        <f aca="false">ROUND($K$369*$B$10,0)</f>
        <v>60236</v>
      </c>
      <c r="K370" s="36" t="n">
        <f aca="false">MAX(0,$K$369-$I370)</f>
        <v>15803424</v>
      </c>
    </row>
    <row r="371" customFormat="false" ht="15" hidden="false" customHeight="false" outlineLevel="0" collapsed="false">
      <c r="A371" s="32" t="n">
        <f aca="false">IF(350&gt;$B$6,"",350)</f>
        <v>350</v>
      </c>
      <c r="B371" s="33" t="n">
        <f aca="false">IF($A371="","",EDATE($B$8,350-1))</f>
        <v>56888</v>
      </c>
      <c r="C371" s="34" t="n">
        <f aca="false">IF($B$7="원리금균등",MAX(0,MIN($G$370,ROUND($B$11,0)-$D371)),IF($B$7="원금균등",MIN($G$370,ROUND($B$4/$B$6,0)),IF(350=$B$6,$G$370,0)))</f>
        <v>1411740</v>
      </c>
      <c r="D371" s="34" t="n">
        <f aca="false">ROUND($G$370*$B$10,0)</f>
        <v>55312</v>
      </c>
      <c r="E371" s="34" t="n">
        <f aca="false">IF($A371="",0,$C371+$D371)</f>
        <v>1467052</v>
      </c>
      <c r="F371" s="35"/>
      <c r="G371" s="34" t="n">
        <f aca="false">MAX(0,$G$370-$C371-$F371)</f>
        <v>14391684</v>
      </c>
      <c r="H371" s="32" t="str">
        <f aca="false">IF($B371="","",TEXT($B371,"yyyy-mm"))</f>
        <v>2055-10</v>
      </c>
      <c r="I371" s="36" t="n">
        <f aca="false">IF($B$7="원리금균등",MAX(0,MIN($K$370,ROUND($B$11,0)-$J371)),IF($B$7="원금균등",MIN($K$370,ROUND($B$4/$B$6,0)),IF(350=$B$6,$K$370,0)))</f>
        <v>1411740</v>
      </c>
      <c r="J371" s="36" t="n">
        <f aca="false">ROUND($K$370*$B$10,0)</f>
        <v>55312</v>
      </c>
      <c r="K371" s="36" t="n">
        <f aca="false">MAX(0,$K$370-$I371)</f>
        <v>14391684</v>
      </c>
    </row>
    <row r="372" customFormat="false" ht="15" hidden="false" customHeight="false" outlineLevel="0" collapsed="false">
      <c r="A372" s="32" t="n">
        <f aca="false">IF(351&gt;$B$6,"",351)</f>
        <v>351</v>
      </c>
      <c r="B372" s="33" t="n">
        <f aca="false">IF($A372="","",EDATE($B$8,351-1))</f>
        <v>56919</v>
      </c>
      <c r="C372" s="34" t="n">
        <f aca="false">IF($B$7="원리금균등",MAX(0,MIN($G$371,ROUND($B$11,0)-$D372)),IF($B$7="원금균등",MIN($G$371,ROUND($B$4/$B$6,0)),IF(351=$B$6,$G$371,0)))</f>
        <v>1416681</v>
      </c>
      <c r="D372" s="34" t="n">
        <f aca="false">ROUND($G$371*$B$10,0)</f>
        <v>50371</v>
      </c>
      <c r="E372" s="34" t="n">
        <f aca="false">IF($A372="",0,$C372+$D372)</f>
        <v>1467052</v>
      </c>
      <c r="F372" s="35"/>
      <c r="G372" s="34" t="n">
        <f aca="false">MAX(0,$G$371-$C372-$F372)</f>
        <v>12975003</v>
      </c>
      <c r="H372" s="32" t="str">
        <f aca="false">IF($B372="","",TEXT($B372,"yyyy-mm"))</f>
        <v>2055-11</v>
      </c>
      <c r="I372" s="36" t="n">
        <f aca="false">IF($B$7="원리금균등",MAX(0,MIN($K$371,ROUND($B$11,0)-$J372)),IF($B$7="원금균등",MIN($K$371,ROUND($B$4/$B$6,0)),IF(351=$B$6,$K$371,0)))</f>
        <v>1416681</v>
      </c>
      <c r="J372" s="36" t="n">
        <f aca="false">ROUND($K$371*$B$10,0)</f>
        <v>50371</v>
      </c>
      <c r="K372" s="36" t="n">
        <f aca="false">MAX(0,$K$371-$I372)</f>
        <v>12975003</v>
      </c>
    </row>
    <row r="373" customFormat="false" ht="15" hidden="false" customHeight="false" outlineLevel="0" collapsed="false">
      <c r="A373" s="32" t="n">
        <f aca="false">IF(352&gt;$B$6,"",352)</f>
        <v>352</v>
      </c>
      <c r="B373" s="33" t="n">
        <f aca="false">IF($A373="","",EDATE($B$8,352-1))</f>
        <v>56949</v>
      </c>
      <c r="C373" s="34" t="n">
        <f aca="false">IF($B$7="원리금균등",MAX(0,MIN($G$372,ROUND($B$11,0)-$D373)),IF($B$7="원금균등",MIN($G$372,ROUND($B$4/$B$6,0)),IF(352=$B$6,$G$372,0)))</f>
        <v>1421639</v>
      </c>
      <c r="D373" s="34" t="n">
        <f aca="false">ROUND($G$372*$B$10,0)</f>
        <v>45413</v>
      </c>
      <c r="E373" s="34" t="n">
        <f aca="false">IF($A373="",0,$C373+$D373)</f>
        <v>1467052</v>
      </c>
      <c r="F373" s="35"/>
      <c r="G373" s="34" t="n">
        <f aca="false">MAX(0,$G$372-$C373-$F373)</f>
        <v>11553364</v>
      </c>
      <c r="H373" s="32" t="str">
        <f aca="false">IF($B373="","",TEXT($B373,"yyyy-mm"))</f>
        <v>2055-12</v>
      </c>
      <c r="I373" s="36" t="n">
        <f aca="false">IF($B$7="원리금균등",MAX(0,MIN($K$372,ROUND($B$11,0)-$J373)),IF($B$7="원금균등",MIN($K$372,ROUND($B$4/$B$6,0)),IF(352=$B$6,$K$372,0)))</f>
        <v>1421639</v>
      </c>
      <c r="J373" s="36" t="n">
        <f aca="false">ROUND($K$372*$B$10,0)</f>
        <v>45413</v>
      </c>
      <c r="K373" s="36" t="n">
        <f aca="false">MAX(0,$K$372-$I373)</f>
        <v>11553364</v>
      </c>
    </row>
    <row r="374" customFormat="false" ht="15" hidden="false" customHeight="false" outlineLevel="0" collapsed="false">
      <c r="A374" s="32" t="n">
        <f aca="false">IF(353&gt;$B$6,"",353)</f>
        <v>353</v>
      </c>
      <c r="B374" s="33" t="n">
        <f aca="false">IF($A374="","",EDATE($B$8,353-1))</f>
        <v>56980</v>
      </c>
      <c r="C374" s="34" t="n">
        <f aca="false">IF($B$7="원리금균등",MAX(0,MIN($G$373,ROUND($B$11,0)-$D374)),IF($B$7="원금균등",MIN($G$373,ROUND($B$4/$B$6,0)),IF(353=$B$6,$G$373,0)))</f>
        <v>1426615</v>
      </c>
      <c r="D374" s="34" t="n">
        <f aca="false">ROUND($G$373*$B$10,0)</f>
        <v>40437</v>
      </c>
      <c r="E374" s="34" t="n">
        <f aca="false">IF($A374="",0,$C374+$D374)</f>
        <v>1467052</v>
      </c>
      <c r="F374" s="35"/>
      <c r="G374" s="34" t="n">
        <f aca="false">MAX(0,$G$373-$C374-$F374)</f>
        <v>10126749</v>
      </c>
      <c r="H374" s="32" t="str">
        <f aca="false">IF($B374="","",TEXT($B374,"yyyy-mm"))</f>
        <v>2056-01</v>
      </c>
      <c r="I374" s="36" t="n">
        <f aca="false">IF($B$7="원리금균등",MAX(0,MIN($K$373,ROUND($B$11,0)-$J374)),IF($B$7="원금균등",MIN($K$373,ROUND($B$4/$B$6,0)),IF(353=$B$6,$K$373,0)))</f>
        <v>1426615</v>
      </c>
      <c r="J374" s="36" t="n">
        <f aca="false">ROUND($K$373*$B$10,0)</f>
        <v>40437</v>
      </c>
      <c r="K374" s="36" t="n">
        <f aca="false">MAX(0,$K$373-$I374)</f>
        <v>10126749</v>
      </c>
    </row>
    <row r="375" customFormat="false" ht="15" hidden="false" customHeight="false" outlineLevel="0" collapsed="false">
      <c r="A375" s="32" t="n">
        <f aca="false">IF(354&gt;$B$6,"",354)</f>
        <v>354</v>
      </c>
      <c r="B375" s="33" t="n">
        <f aca="false">IF($A375="","",EDATE($B$8,354-1))</f>
        <v>57011</v>
      </c>
      <c r="C375" s="34" t="n">
        <f aca="false">IF($B$7="원리금균등",MAX(0,MIN($G$374,ROUND($B$11,0)-$D375)),IF($B$7="원금균등",MIN($G$374,ROUND($B$4/$B$6,0)),IF(354=$B$6,$G$374,0)))</f>
        <v>1431608</v>
      </c>
      <c r="D375" s="34" t="n">
        <f aca="false">ROUND($G$374*$B$10,0)</f>
        <v>35444</v>
      </c>
      <c r="E375" s="34" t="n">
        <f aca="false">IF($A375="",0,$C375+$D375)</f>
        <v>1467052</v>
      </c>
      <c r="F375" s="35"/>
      <c r="G375" s="34" t="n">
        <f aca="false">MAX(0,$G$374-$C375-$F375)</f>
        <v>8695141</v>
      </c>
      <c r="H375" s="32" t="str">
        <f aca="false">IF($B375="","",TEXT($B375,"yyyy-mm"))</f>
        <v>2056-02</v>
      </c>
      <c r="I375" s="36" t="n">
        <f aca="false">IF($B$7="원리금균등",MAX(0,MIN($K$374,ROUND($B$11,0)-$J375)),IF($B$7="원금균등",MIN($K$374,ROUND($B$4/$B$6,0)),IF(354=$B$6,$K$374,0)))</f>
        <v>1431608</v>
      </c>
      <c r="J375" s="36" t="n">
        <f aca="false">ROUND($K$374*$B$10,0)</f>
        <v>35444</v>
      </c>
      <c r="K375" s="36" t="n">
        <f aca="false">MAX(0,$K$374-$I375)</f>
        <v>8695141</v>
      </c>
    </row>
    <row r="376" customFormat="false" ht="15" hidden="false" customHeight="false" outlineLevel="0" collapsed="false">
      <c r="A376" s="32" t="n">
        <f aca="false">IF(355&gt;$B$6,"",355)</f>
        <v>355</v>
      </c>
      <c r="B376" s="33" t="n">
        <f aca="false">IF($A376="","",EDATE($B$8,355-1))</f>
        <v>57040</v>
      </c>
      <c r="C376" s="34" t="n">
        <f aca="false">IF($B$7="원리금균등",MAX(0,MIN($G$375,ROUND($B$11,0)-$D376)),IF($B$7="원금균등",MIN($G$375,ROUND($B$4/$B$6,0)),IF(355=$B$6,$G$375,0)))</f>
        <v>1436619</v>
      </c>
      <c r="D376" s="34" t="n">
        <f aca="false">ROUND($G$375*$B$10,0)</f>
        <v>30433</v>
      </c>
      <c r="E376" s="34" t="n">
        <f aca="false">IF($A376="",0,$C376+$D376)</f>
        <v>1467052</v>
      </c>
      <c r="F376" s="35"/>
      <c r="G376" s="34" t="n">
        <f aca="false">MAX(0,$G$375-$C376-$F376)</f>
        <v>7258522</v>
      </c>
      <c r="H376" s="32" t="str">
        <f aca="false">IF($B376="","",TEXT($B376,"yyyy-mm"))</f>
        <v>2056-03</v>
      </c>
      <c r="I376" s="36" t="n">
        <f aca="false">IF($B$7="원리금균등",MAX(0,MIN($K$375,ROUND($B$11,0)-$J376)),IF($B$7="원금균등",MIN($K$375,ROUND($B$4/$B$6,0)),IF(355=$B$6,$K$375,0)))</f>
        <v>1436619</v>
      </c>
      <c r="J376" s="36" t="n">
        <f aca="false">ROUND($K$375*$B$10,0)</f>
        <v>30433</v>
      </c>
      <c r="K376" s="36" t="n">
        <f aca="false">MAX(0,$K$375-$I376)</f>
        <v>7258522</v>
      </c>
    </row>
    <row r="377" customFormat="false" ht="15" hidden="false" customHeight="false" outlineLevel="0" collapsed="false">
      <c r="A377" s="32" t="n">
        <f aca="false">IF(356&gt;$B$6,"",356)</f>
        <v>356</v>
      </c>
      <c r="B377" s="33" t="n">
        <f aca="false">IF($A377="","",EDATE($B$8,356-1))</f>
        <v>57071</v>
      </c>
      <c r="C377" s="34" t="n">
        <f aca="false">IF($B$7="원리금균등",MAX(0,MIN($G$376,ROUND($B$11,0)-$D377)),IF($B$7="원금균등",MIN($G$376,ROUND($B$4/$B$6,0)),IF(356=$B$6,$G$376,0)))</f>
        <v>1441647</v>
      </c>
      <c r="D377" s="34" t="n">
        <f aca="false">ROUND($G$376*$B$10,0)</f>
        <v>25405</v>
      </c>
      <c r="E377" s="34" t="n">
        <f aca="false">IF($A377="",0,$C377+$D377)</f>
        <v>1467052</v>
      </c>
      <c r="F377" s="35"/>
      <c r="G377" s="34" t="n">
        <f aca="false">MAX(0,$G$376-$C377-$F377)</f>
        <v>5816875</v>
      </c>
      <c r="H377" s="32" t="str">
        <f aca="false">IF($B377="","",TEXT($B377,"yyyy-mm"))</f>
        <v>2056-04</v>
      </c>
      <c r="I377" s="36" t="n">
        <f aca="false">IF($B$7="원리금균등",MAX(0,MIN($K$376,ROUND($B$11,0)-$J377)),IF($B$7="원금균등",MIN($K$376,ROUND($B$4/$B$6,0)),IF(356=$B$6,$K$376,0)))</f>
        <v>1441647</v>
      </c>
      <c r="J377" s="36" t="n">
        <f aca="false">ROUND($K$376*$B$10,0)</f>
        <v>25405</v>
      </c>
      <c r="K377" s="36" t="n">
        <f aca="false">MAX(0,$K$376-$I377)</f>
        <v>5816875</v>
      </c>
    </row>
    <row r="378" customFormat="false" ht="15" hidden="false" customHeight="false" outlineLevel="0" collapsed="false">
      <c r="A378" s="32" t="n">
        <f aca="false">IF(357&gt;$B$6,"",357)</f>
        <v>357</v>
      </c>
      <c r="B378" s="33" t="n">
        <f aca="false">IF($A378="","",EDATE($B$8,357-1))</f>
        <v>57101</v>
      </c>
      <c r="C378" s="34" t="n">
        <f aca="false">IF($B$7="원리금균등",MAX(0,MIN($G$377,ROUND($B$11,0)-$D378)),IF($B$7="원금균등",MIN($G$377,ROUND($B$4/$B$6,0)),IF(357=$B$6,$G$377,0)))</f>
        <v>1446693</v>
      </c>
      <c r="D378" s="34" t="n">
        <f aca="false">ROUND($G$377*$B$10,0)</f>
        <v>20359</v>
      </c>
      <c r="E378" s="34" t="n">
        <f aca="false">IF($A378="",0,$C378+$D378)</f>
        <v>1467052</v>
      </c>
      <c r="F378" s="35"/>
      <c r="G378" s="34" t="n">
        <f aca="false">MAX(0,$G$377-$C378-$F378)</f>
        <v>4370182</v>
      </c>
      <c r="H378" s="32" t="str">
        <f aca="false">IF($B378="","",TEXT($B378,"yyyy-mm"))</f>
        <v>2056-05</v>
      </c>
      <c r="I378" s="36" t="n">
        <f aca="false">IF($B$7="원리금균등",MAX(0,MIN($K$377,ROUND($B$11,0)-$J378)),IF($B$7="원금균등",MIN($K$377,ROUND($B$4/$B$6,0)),IF(357=$B$6,$K$377,0)))</f>
        <v>1446693</v>
      </c>
      <c r="J378" s="36" t="n">
        <f aca="false">ROUND($K$377*$B$10,0)</f>
        <v>20359</v>
      </c>
      <c r="K378" s="36" t="n">
        <f aca="false">MAX(0,$K$377-$I378)</f>
        <v>4370182</v>
      </c>
    </row>
    <row r="379" customFormat="false" ht="15" hidden="false" customHeight="false" outlineLevel="0" collapsed="false">
      <c r="A379" s="32" t="n">
        <f aca="false">IF(358&gt;$B$6,"",358)</f>
        <v>358</v>
      </c>
      <c r="B379" s="33" t="n">
        <f aca="false">IF($A379="","",EDATE($B$8,358-1))</f>
        <v>57132</v>
      </c>
      <c r="C379" s="34" t="n">
        <f aca="false">IF($B$7="원리금균등",MAX(0,MIN($G$378,ROUND($B$11,0)-$D379)),IF($B$7="원금균등",MIN($G$378,ROUND($B$4/$B$6,0)),IF(358=$B$6,$G$378,0)))</f>
        <v>1451756</v>
      </c>
      <c r="D379" s="34" t="n">
        <f aca="false">ROUND($G$378*$B$10,0)</f>
        <v>15296</v>
      </c>
      <c r="E379" s="34" t="n">
        <f aca="false">IF($A379="",0,$C379+$D379)</f>
        <v>1467052</v>
      </c>
      <c r="F379" s="35"/>
      <c r="G379" s="34" t="n">
        <f aca="false">MAX(0,$G$378-$C379-$F379)</f>
        <v>2918426</v>
      </c>
      <c r="H379" s="32" t="str">
        <f aca="false">IF($B379="","",TEXT($B379,"yyyy-mm"))</f>
        <v>2056-06</v>
      </c>
      <c r="I379" s="36" t="n">
        <f aca="false">IF($B$7="원리금균등",MAX(0,MIN($K$378,ROUND($B$11,0)-$J379)),IF($B$7="원금균등",MIN($K$378,ROUND($B$4/$B$6,0)),IF(358=$B$6,$K$378,0)))</f>
        <v>1451756</v>
      </c>
      <c r="J379" s="36" t="n">
        <f aca="false">ROUND($K$378*$B$10,0)</f>
        <v>15296</v>
      </c>
      <c r="K379" s="36" t="n">
        <f aca="false">MAX(0,$K$378-$I379)</f>
        <v>2918426</v>
      </c>
    </row>
    <row r="380" customFormat="false" ht="15" hidden="false" customHeight="false" outlineLevel="0" collapsed="false">
      <c r="A380" s="32" t="n">
        <f aca="false">IF(359&gt;$B$6,"",359)</f>
        <v>359</v>
      </c>
      <c r="B380" s="33" t="n">
        <f aca="false">IF($A380="","",EDATE($B$8,359-1))</f>
        <v>57162</v>
      </c>
      <c r="C380" s="34" t="n">
        <f aca="false">IF($B$7="원리금균등",MAX(0,MIN($G$379,ROUND($B$11,0)-$D380)),IF($B$7="원금균등",MIN($G$379,ROUND($B$4/$B$6,0)),IF(359=$B$6,$G$379,0)))</f>
        <v>1456838</v>
      </c>
      <c r="D380" s="34" t="n">
        <f aca="false">ROUND($G$379*$B$10,0)</f>
        <v>10214</v>
      </c>
      <c r="E380" s="34" t="n">
        <f aca="false">IF($A380="",0,$C380+$D380)</f>
        <v>1467052</v>
      </c>
      <c r="F380" s="35"/>
      <c r="G380" s="34" t="n">
        <f aca="false">MAX(0,$G$379-$C380-$F380)</f>
        <v>1461588</v>
      </c>
      <c r="H380" s="32" t="str">
        <f aca="false">IF($B380="","",TEXT($B380,"yyyy-mm"))</f>
        <v>2056-07</v>
      </c>
      <c r="I380" s="36" t="n">
        <f aca="false">IF($B$7="원리금균등",MAX(0,MIN($K$379,ROUND($B$11,0)-$J380)),IF($B$7="원금균등",MIN($K$379,ROUND($B$4/$B$6,0)),IF(359=$B$6,$K$379,0)))</f>
        <v>1456838</v>
      </c>
      <c r="J380" s="36" t="n">
        <f aca="false">ROUND($K$379*$B$10,0)</f>
        <v>10214</v>
      </c>
      <c r="K380" s="36" t="n">
        <f aca="false">MAX(0,$K$379-$I380)</f>
        <v>1461588</v>
      </c>
    </row>
    <row r="381" customFormat="false" ht="15" hidden="false" customHeight="false" outlineLevel="0" collapsed="false">
      <c r="A381" s="32" t="n">
        <f aca="false">IF(360&gt;$B$6,"",360)</f>
        <v>360</v>
      </c>
      <c r="B381" s="33" t="n">
        <f aca="false">IF($A381="","",EDATE($B$8,360-1))</f>
        <v>57193</v>
      </c>
      <c r="C381" s="34" t="n">
        <f aca="false">IF($B$7="원리금균등",MAX(0,MIN($G$380,ROUND($B$11,0)-$D381)),IF($B$7="원금균등",MIN($G$380,ROUND($B$4/$B$6,0)),IF(360=$B$6,$G$380,0)))</f>
        <v>1461588</v>
      </c>
      <c r="D381" s="34" t="n">
        <f aca="false">ROUND($G$380*$B$10,0)</f>
        <v>5116</v>
      </c>
      <c r="E381" s="34" t="n">
        <f aca="false">IF($A381="",0,$C381+$D381)</f>
        <v>1466704</v>
      </c>
      <c r="F381" s="35"/>
      <c r="G381" s="34" t="n">
        <f aca="false">MAX(0,$G$380-$C381-$F381)</f>
        <v>0</v>
      </c>
      <c r="H381" s="32" t="str">
        <f aca="false">IF($B381="","",TEXT($B381,"yyyy-mm"))</f>
        <v>2056-08</v>
      </c>
      <c r="I381" s="36" t="n">
        <f aca="false">IF($B$7="원리금균등",MAX(0,MIN($K$380,ROUND($B$11,0)-$J381)),IF($B$7="원금균등",MIN($K$380,ROUND($B$4/$B$6,0)),IF(360=$B$6,$K$380,0)))</f>
        <v>1461588</v>
      </c>
      <c r="J381" s="36" t="n">
        <f aca="false">ROUND($K$380*$B$10,0)</f>
        <v>5116</v>
      </c>
      <c r="K381" s="36" t="n">
        <f aca="false">MAX(0,$K$380-$I381)</f>
        <v>0</v>
      </c>
    </row>
    <row r="383" customFormat="false" ht="15" hidden="false" customHeight="false" outlineLevel="0" collapsed="false">
      <c r="A383" s="19" t="s">
        <v>61</v>
      </c>
    </row>
    <row r="384" customFormat="false" ht="15" hidden="false" customHeight="false" outlineLevel="0" collapsed="false">
      <c r="A384" s="19" t="s">
        <v>62</v>
      </c>
    </row>
    <row r="385" customFormat="false" ht="15" hidden="false" customHeight="false" outlineLevel="0" collapsed="false">
      <c r="A385" s="19" t="s">
        <v>63</v>
      </c>
    </row>
    <row r="386" customFormat="false" ht="15" hidden="false" customHeight="false" outlineLevel="0" collapsed="false">
      <c r="A386" s="19" t="s">
        <v>64</v>
      </c>
    </row>
    <row r="387" customFormat="false" ht="15" hidden="false" customHeight="false" outlineLevel="0" collapsed="false">
      <c r="A387" s="19" t="s">
        <v>65</v>
      </c>
    </row>
  </sheetData>
  <mergeCells count="3">
    <mergeCell ref="A1:H1"/>
    <mergeCell ref="A2:H2"/>
    <mergeCell ref="A13:H13"/>
  </mergeCells>
  <dataValidations count="1">
    <dataValidation allowBlank="false" error="원리금균등 · 원금균등 · 만기일시 중에서 고르세요." errorStyle="stop" errorTitle="상환 방식" operator="between" showDropDown="false" showErrorMessage="true" showInputMessage="false" sqref="B7" type="list">
      <formula1>"원리금균등,원금균등,만기일시"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08080"/>
    <pageSetUpPr fitToPage="false"/>
  </sheetPr>
  <dimension ref="A1:B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4"/>
  </cols>
  <sheetData>
    <row r="1" customFormat="false" ht="21.75" hidden="false" customHeight="true" outlineLevel="0" collapsed="false">
      <c r="A1" s="1" t="s">
        <v>0</v>
      </c>
      <c r="B1" s="1"/>
    </row>
    <row r="3" customFormat="false" ht="24" hidden="false" customHeight="true" outlineLevel="0" collapsed="false">
      <c r="B3" s="37" t="s">
        <v>66</v>
      </c>
    </row>
    <row r="4" customFormat="false" ht="18" hidden="false" customHeight="true" outlineLevel="0" collapsed="false">
      <c r="B4" s="38" t="s">
        <v>67</v>
      </c>
    </row>
    <row r="5" customFormat="false" ht="18" hidden="false" customHeight="true" outlineLevel="0" collapsed="false">
      <c r="B5" s="38" t="s">
        <v>68</v>
      </c>
    </row>
    <row r="7" customFormat="false" ht="24" hidden="false" customHeight="true" outlineLevel="0" collapsed="false">
      <c r="B7" s="37" t="s">
        <v>69</v>
      </c>
    </row>
    <row r="8" customFormat="false" ht="18" hidden="false" customHeight="true" outlineLevel="0" collapsed="false">
      <c r="B8" s="38" t="s">
        <v>70</v>
      </c>
    </row>
    <row r="9" customFormat="false" ht="18" hidden="false" customHeight="true" outlineLevel="0" collapsed="false">
      <c r="B9" s="38" t="s">
        <v>71</v>
      </c>
    </row>
    <row r="10" customFormat="false" ht="18" hidden="false" customHeight="true" outlineLevel="0" collapsed="false">
      <c r="B10" s="38" t="s">
        <v>72</v>
      </c>
    </row>
    <row r="12" customFormat="false" ht="24" hidden="false" customHeight="true" outlineLevel="0" collapsed="false">
      <c r="B12" s="39" t="s">
        <v>73</v>
      </c>
    </row>
    <row r="13" customFormat="false" ht="18" hidden="false" customHeight="true" outlineLevel="0" collapsed="false">
      <c r="B13" s="38" t="s">
        <v>74</v>
      </c>
    </row>
    <row r="14" customFormat="false" ht="18" hidden="false" customHeight="true" outlineLevel="0" collapsed="false">
      <c r="B14" s="38" t="s">
        <v>75</v>
      </c>
    </row>
    <row r="15" customFormat="false" ht="18" hidden="false" customHeight="true" outlineLevel="0" collapsed="false">
      <c r="B15" s="38" t="s">
        <v>76</v>
      </c>
    </row>
    <row r="17" customFormat="false" ht="24" hidden="false" customHeight="true" outlineLevel="0" collapsed="false">
      <c r="B17" s="37" t="s">
        <v>77</v>
      </c>
    </row>
    <row r="18" customFormat="false" ht="18" hidden="false" customHeight="true" outlineLevel="0" collapsed="false">
      <c r="B18" s="38" t="s">
        <v>78</v>
      </c>
    </row>
    <row r="19" customFormat="false" ht="18" hidden="false" customHeight="true" outlineLevel="0" collapsed="false">
      <c r="B19" s="38" t="s">
        <v>79</v>
      </c>
    </row>
    <row r="21" customFormat="false" ht="24" hidden="false" customHeight="true" outlineLevel="0" collapsed="false">
      <c r="B21" s="37" t="s">
        <v>80</v>
      </c>
    </row>
    <row r="22" customFormat="false" ht="18" hidden="false" customHeight="true" outlineLevel="0" collapsed="false">
      <c r="B22" s="38" t="s">
        <v>81</v>
      </c>
    </row>
    <row r="24" customFormat="false" ht="24" hidden="false" customHeight="true" outlineLevel="0" collapsed="false">
      <c r="B24" s="37" t="s">
        <v>82</v>
      </c>
    </row>
    <row r="25" customFormat="false" ht="18" hidden="false" customHeight="true" outlineLevel="0" collapsed="false">
      <c r="B25" s="40" t="s">
        <v>83</v>
      </c>
    </row>
    <row r="26" customFormat="false" ht="18" hidden="false" customHeight="true" outlineLevel="0" collapsed="false">
      <c r="B26" s="38" t="s">
        <v>84</v>
      </c>
    </row>
    <row r="27" customFormat="false" ht="18" hidden="false" customHeight="true" outlineLevel="0" collapsed="false">
      <c r="B27" s="38" t="s">
        <v>85</v>
      </c>
    </row>
    <row r="29" customFormat="false" ht="24" hidden="false" customHeight="true" outlineLevel="0" collapsed="false">
      <c r="B29" s="37" t="s">
        <v>86</v>
      </c>
    </row>
    <row r="30" customFormat="false" ht="18" hidden="false" customHeight="true" outlineLevel="0" collapsed="false">
      <c r="B30" s="38" t="s">
        <v>87</v>
      </c>
    </row>
    <row r="32" customFormat="false" ht="24" hidden="false" customHeight="true" outlineLevel="0" collapsed="false">
      <c r="B32" s="37" t="s">
        <v>88</v>
      </c>
    </row>
    <row r="33" customFormat="false" ht="18" hidden="false" customHeight="true" outlineLevel="0" collapsed="false">
      <c r="B33" s="38" t="s">
        <v>89</v>
      </c>
    </row>
    <row r="34" customFormat="false" ht="18" hidden="false" customHeight="true" outlineLevel="0" collapsed="false">
      <c r="B34" s="38" t="s">
        <v>90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2026-08-13T09:01:45Z</dcterms:created>
  <dc:creator>openpyxl</dc:creator>
  <dc:description/>
  <dc:language>en-US</dc:language>
  <cp:lastModifiedBy/>
  <dcterms:modified xsi:type="dcterms:W3CDTF">2026-08-13T09:01:45Z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